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<sst xmlns="http://schemas.openxmlformats.org/spreadsheetml/2006/main" count="3662" uniqueCount="2965">
  <si>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</si>
  <si>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</si>
  <si>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</si>
  <si>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</si>
  <si>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</si>
  <si>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</si>
  <si>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</si>
  <si>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</si>
  <si>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</si>
  <si>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</si>
  <si>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</si>
  <si>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</si>
  <si>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</si>
  <si>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</si>
  <si>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</si>
  <si>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</si>
  <si>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</si>
  <si>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</si>
  <si>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</si>
  <si>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</si>
  <si>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</si>
  <si>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</si>
  <si>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</si>
  <si>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</si>
  <si>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</si>
  <si>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</si>
  <si>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</si>
  <si>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</si>
  <si>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</si>
  <si>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</si>
  <si>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</si>
  <si>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</si>
  <si>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</si>
  <si>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</si>
  <si>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</si>
  <si>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</si>
  <si>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</si>
  <si>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</si>
  <si>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</si>
  <si>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</si>
  <si>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</si>
  <si>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</si>
  <si>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</si>
  <si>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</si>
  <si>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</si>
  <si>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</si>
  <si>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</si>
  <si>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</si>
  <si>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</si>
  <si>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</si>
  <si>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</si>
  <si>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</si>
  <si>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</si>
  <si>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</si>
  <si>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</si>
  <si>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</si>
  <si>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</si>
  <si>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</si>
  <si>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</si>
  <si>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</si>
  <si>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</si>
  <si>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</si>
  <si>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</si>
  <si>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</si>
  <si>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</si>
  <si>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</si>
  <si>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</si>
  <si>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</si>
  <si>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</si>
  <si>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</si>
  <si>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</si>
  <si>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</si>
  <si>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</si>
  <si>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</si>
  <si>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</si>
  <si>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</si>
  <si>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</si>
  <si>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</si>
  <si>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</si>
  <si>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</si>
  <si>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</si>
  <si>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</si>
  <si>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</si>
  <si>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</si>
  <si>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</si>
  <si>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</si>
  <si>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</si>
  <si>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</si>
  <si>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</si>
  <si>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</si>
  <si>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</si>
  <si>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</si>
  <si>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</si>
  <si>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</si>
  <si>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</si>
  <si>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</si>
  <si>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</si>
  <si>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</si>
  <si>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</si>
  <si>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</si>
  <si>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</si>
  <si>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</si>
  <si>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</si>
  <si>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</si>
  <si>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</si>
  <si>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</si>
  <si>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</si>
  <si>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</si>
  <si>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</si>
  <si>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</si>
  <si>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</si>
  <si>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</si>
  <si>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</si>
  <si>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</si>
  <si>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</si>
  <si>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</si>
  <si>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</si>
  <si>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</si>
  <si>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</si>
  <si>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</si>
  <si>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</si>
  <si>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</si>
  <si>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</si>
  <si>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</si>
  <si>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</si>
  <si>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</si>
  <si>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</si>
  <si>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</si>
  <si>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</si>
  <si>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</si>
  <si>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</si>
  <si>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</si>
  <si>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</si>
  <si>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</si>
  <si>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</si>
  <si>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</si>
  <si>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</si>
  <si>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</si>
  <si>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</si>
  <si>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</si>
  <si>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</si>
  <si>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</si>
  <si>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</si>
  <si>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</si>
  <si>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</si>
  <si>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</si>
  <si>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</si>
  <si>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</si>
  <si>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</si>
  <si>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</si>
  <si>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</si>
  <si>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</si>
  <si>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</si>
  <si>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</si>
  <si>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</si>
  <si>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</si>
  <si>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</si>
  <si>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</si>
  <si>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</si>
  <si>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</si>
  <si>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</si>
  <si>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</si>
  <si>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</si>
  <si>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</si>
  <si>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</si>
  <si>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</si>
  <si>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</si>
  <si>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</si>
  <si>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</si>
  <si>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</si>
  <si>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</si>
  <si>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</si>
  <si>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</si>
  <si>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</si>
  <si>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</si>
  <si>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</si>
  <si>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</si>
  <si>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</si>
  <si>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</si>
  <si>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</si>
  <si>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</si>
  <si>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</si>
  <si>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</si>
  <si>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</si>
  <si>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</si>
  <si>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</si>
  <si>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</si>
  <si>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</si>
  <si>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</si>
  <si>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</si>
  <si>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</si>
  <si>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</si>
  <si>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</si>
  <si>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</si>
  <si>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</si>
  <si>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</si>
  <si>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</si>
  <si>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</si>
  <si>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</si>
  <si>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</si>
  <si>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</si>
  <si>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</si>
  <si>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</si>
  <si>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</si>
  <si>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</si>
  <si>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</si>
  <si>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</si>
  <si>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</si>
  <si>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</si>
  <si>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</si>
  <si>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</si>
  <si>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</si>
  <si>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</si>
  <si>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</si>
  <si>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</si>
  <si>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</si>
  <si>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</si>
  <si>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</si>
  <si>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</si>
  <si>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</si>
  <si>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</si>
  <si>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</si>
  <si>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</si>
  <si>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</si>
  <si>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</si>
  <si>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</si>
  <si>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</si>
  <si>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</si>
  <si>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</si>
  <si>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</si>
  <si>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</si>
  <si>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</si>
  <si>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</si>
  <si>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</si>
  <si>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</si>
  <si>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</si>
  <si>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</si>
  <si>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</si>
  <si>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</si>
  <si>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</si>
  <si>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</si>
  <si>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</si>
  <si>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</si>
  <si>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</si>
  <si>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</si>
  <si>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</si>
  <si>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</si>
  <si>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</si>
  <si>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</si>
  <si>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</si>
  <si>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</si>
  <si>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</si>
  <si>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</si>
  <si>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</si>
  <si>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</si>
  <si>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</si>
  <si>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</si>
  <si>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</si>
  <si>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</si>
  <si>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</si>
  <si>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</si>
  <si>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</si>
  <si>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</si>
  <si>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</si>
  <si>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</si>
  <si>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</si>
  <si>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</si>
  <si>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</si>
  <si>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</si>
  <si>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</si>
  <si>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</si>
  <si>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</si>
  <si>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</si>
  <si>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</si>
  <si>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</si>
  <si>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</si>
  <si>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</si>
  <si>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</si>
  <si>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</si>
  <si>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</si>
  <si>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</si>
  <si>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</si>
  <si>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</si>
  <si>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</si>
  <si>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</si>
  <si>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</si>
  <si>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</si>
  <si>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</si>
  <si>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</si>
  <si>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</si>
  <si>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</si>
  <si>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</si>
  <si>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</si>
  <si>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</si>
  <si>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</si>
  <si>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</si>
  <si>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</si>
  <si>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</si>
  <si>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</si>
  <si>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</si>
  <si>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</si>
  <si>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</si>
  <si>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</si>
  <si>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</si>
  <si>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</si>
  <si>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</si>
  <si>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</si>
  <si>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</si>
  <si>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</si>
  <si>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</si>
  <si>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</si>
  <si>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</si>
  <si>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</si>
  <si>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</si>
  <si>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</si>
  <si>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</si>
  <si>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</si>
  <si>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</si>
  <si>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</si>
  <si>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</si>
  <si>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</si>
  <si>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</si>
  <si>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</si>
  <si>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</si>
  <si>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</si>
  <si>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</si>
  <si>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</si>
  <si>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</si>
  <si>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</si>
  <si>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</si>
  <si>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</si>
  <si>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</si>
  <si>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</si>
  <si>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</si>
  <si>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</si>
  <si>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</si>
  <si>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</si>
  <si>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</si>
  <si>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</si>
  <si>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</si>
  <si>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</si>
  <si>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</si>
  <si>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</si>
  <si>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</si>
  <si>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</si>
  <si>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</si>
  <si>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</si>
  <si>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</si>
  <si>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</si>
  <si>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</si>
  <si>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</si>
  <si>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</si>
  <si>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</si>
  <si>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</si>
  <si>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</si>
  <si>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</si>
  <si>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</si>
  <si>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</si>
  <si>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</si>
  <si>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</si>
  <si>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</si>
  <si>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</si>
  <si>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</si>
  <si>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</si>
  <si>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</si>
  <si>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</si>
  <si>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</si>
  <si>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</si>
  <si>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</si>
  <si>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</si>
  <si>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</si>
  <si>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</si>
  <si>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</si>
  <si>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</si>
  <si>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</si>
  <si>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</si>
  <si>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</si>
  <si>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</si>
  <si>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</si>
  <si>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</si>
  <si>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</si>
  <si>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</si>
  <si>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</si>
  <si>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</si>
  <si>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</si>
  <si>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</si>
  <si>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</si>
  <si>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</si>
  <si>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</si>
  <si>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</si>
  <si>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</si>
  <si>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</si>
  <si>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</si>
  <si>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</si>
  <si>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</si>
  <si>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</si>
  <si>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</si>
  <si>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</si>
  <si>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</si>
  <si>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</si>
  <si>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</si>
  <si>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</si>
  <si>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</si>
  <si>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</si>
  <si>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</si>
  <si>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</si>
  <si>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</si>
  <si>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</si>
  <si>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</si>
  <si>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</si>
  <si>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</si>
  <si>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</si>
  <si>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</si>
  <si>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</si>
  <si>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</si>
  <si>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</si>
  <si>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</si>
  <si>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</si>
  <si>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</si>
  <si>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</si>
  <si>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</si>
  <si>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</si>
  <si>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</si>
  <si>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</si>
  <si>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</si>
  <si>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</si>
  <si>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</si>
  <si>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</si>
  <si>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</si>
  <si>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</si>
  <si>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</si>
  <si>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</si>
  <si>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</si>
  <si>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</si>
  <si>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</si>
  <si>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</si>
  <si>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</si>
  <si>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</si>
  <si>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</si>
  <si>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</si>
  <si>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</si>
  <si>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</si>
  <si>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</si>
  <si>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</si>
  <si>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</si>
  <si>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</si>
  <si>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</si>
  <si>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</si>
  <si>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</si>
  <si>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</si>
  <si>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</si>
  <si>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</si>
  <si>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</si>
  <si>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</si>
  <si>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</si>
  <si>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</si>
  <si>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</si>
  <si>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</si>
  <si>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</si>
  <si>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</si>
  <si>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</si>
  <si>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</si>
  <si>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</si>
  <si>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</si>
  <si>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</si>
  <si>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</si>
  <si>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</si>
  <si>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</si>
  <si>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</si>
  <si>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</si>
  <si>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</si>
  <si>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</si>
  <si>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</si>
  <si>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</si>
  <si>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</si>
  <si>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</si>
  <si>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</si>
  <si>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</si>
  <si>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</si>
  <si>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</si>
  <si>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</si>
  <si>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</si>
  <si>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</si>
  <si>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</si>
  <si>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</si>
  <si>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</si>
  <si>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</si>
  <si>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</si>
  <si>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</si>
  <si>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</si>
  <si>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</si>
  <si>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</si>
  <si>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</si>
  <si>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</si>
  <si>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</si>
  <si>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</si>
  <si>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</si>
  <si>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</si>
  <si>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</si>
  <si>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</si>
  <si>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</si>
  <si>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</si>
  <si>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</si>
  <si>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</si>
  <si>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</si>
  <si>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</si>
  <si>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</si>
  <si>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</si>
  <si>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</si>
  <si>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</si>
  <si>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</si>
  <si>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</si>
  <si>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</si>
  <si>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</si>
  <si>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</si>
  <si>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</si>
  <si>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</si>
  <si>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</si>
  <si>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</si>
  <si>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</si>
  <si>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</si>
  <si>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</si>
  <si>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</si>
  <si>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</si>
  <si>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</si>
  <si>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</si>
  <si>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</si>
  <si>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</si>
  <si>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</si>
  <si>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</si>
  <si>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</si>
  <si>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</si>
  <si>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</si>
  <si>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</si>
  <si>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</si>
  <si>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</si>
  <si>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</si>
  <si>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</si>
  <si>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</si>
  <si>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</si>
  <si>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</si>
  <si>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</si>
  <si>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</si>
  <si>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</si>
  <si>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</si>
  <si>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</si>
  <si>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</si>
  <si>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</si>
  <si>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</si>
  <si>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</si>
  <si>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</si>
  <si>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</si>
  <si>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</si>
  <si>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</si>
  <si>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</si>
  <si>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</si>
  <si>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</si>
  <si>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</si>
  <si>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</si>
  <si>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</si>
  <si>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</si>
  <si>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</si>
  <si>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</si>
  <si>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</si>
  <si>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</si>
  <si>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</si>
  <si>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</si>
  <si>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</si>
  <si>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</si>
  <si>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</si>
  <si>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</si>
  <si>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</si>
  <si>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</si>
  <si>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</si>
  <si>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</si>
  <si>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</si>
  <si>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</si>
  <si>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</si>
  <si>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</si>
  <si>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</si>
  <si>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</si>
  <si>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</si>
  <si>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</si>
  <si>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</si>
  <si>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</si>
  <si>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</si>
  <si>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</si>
  <si>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</si>
  <si>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</si>
  <si>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</si>
  <si>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</si>
  <si>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</si>
  <si>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</si>
  <si>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</si>
  <si>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</si>
  <si>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</si>
  <si>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</si>
  <si>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</si>
  <si>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</si>
  <si>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</si>
  <si>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</si>
  <si>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</si>
  <si>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</si>
  <si>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</si>
  <si>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</si>
  <si>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</si>
  <si>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</si>
  <si>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</si>
  <si>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</si>
  <si>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</si>
  <si>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</si>
  <si>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</si>
  <si>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</si>
  <si>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</si>
  <si>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</si>
  <si>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</si>
  <si>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</si>
  <si>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</si>
  <si>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</si>
  <si>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</si>
  <si>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</si>
  <si>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</si>
  <si>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</si>
  <si>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</si>
  <si>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</si>
  <si>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</si>
  <si>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</si>
  <si>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</si>
  <si>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</si>
  <si>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</si>
  <si>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</si>
  <si>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</si>
  <si>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</si>
  <si>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</si>
  <si>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</si>
  <si>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</si>
  <si>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</si>
  <si>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</si>
  <si>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</si>
  <si>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</si>
  <si>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</si>
  <si>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</si>
  <si>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</si>
  <si>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</si>
  <si>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</si>
  <si>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</si>
  <si>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</si>
  <si>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</si>
  <si>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</si>
  <si>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</si>
  <si>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</si>
  <si>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</si>
  <si>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</si>
  <si>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</si>
  <si>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</si>
  <si>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</si>
  <si>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</si>
  <si>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</si>
  <si>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</si>
  <si>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</si>
  <si>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</si>
  <si>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</si>
  <si>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</si>
  <si>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</si>
  <si>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</si>
  <si>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</si>
  <si>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</si>
  <si>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</si>
  <si>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</si>
  <si>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</si>
  <si>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</si>
  <si>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</si>
  <si>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</si>
  <si>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</si>
  <si>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</si>
  <si>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</si>
  <si>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</si>
  <si>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</si>
  <si>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</si>
  <si>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</si>
  <si>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</si>
  <si>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</si>
  <si>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</si>
  <si>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</si>
  <si>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</si>
  <si>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</si>
  <si>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</si>
  <si>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</si>
  <si>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</si>
  <si>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</si>
  <si>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</si>
  <si>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</si>
  <si>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</si>
  <si>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</si>
  <si>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</si>
  <si>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</si>
  <si>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</si>
  <si>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</si>
  <si>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</si>
  <si>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</si>
  <si>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</si>
  <si>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</si>
  <si>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</si>
  <si>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</si>
  <si>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</si>
  <si>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</si>
  <si>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</si>
  <si>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</si>
  <si>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</si>
  <si>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</si>
  <si>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</si>
  <si>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</si>
  <si>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</si>
  <si>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</si>
  <si>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</si>
  <si>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</si>
  <si>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</si>
  <si>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</si>
  <si>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</si>
  <si>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</si>
  <si>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</si>
  <si>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</si>
  <si>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</si>
  <si>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</si>
  <si>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</si>
  <si>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</si>
  <si>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</si>
  <si>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</si>
  <si>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</si>
  <si>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</si>
  <si>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</si>
  <si>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</si>
  <si>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</si>
  <si>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</si>
  <si>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</si>
  <si>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</si>
  <si>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</si>
  <si>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</si>
  <si>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</si>
  <si>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</si>
  <si>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</si>
  <si>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</si>
  <si>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</si>
  <si>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</si>
  <si>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</si>
  <si>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</si>
  <si>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</si>
  <si>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</si>
  <si>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</si>
  <si>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</si>
  <si>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</si>
  <si>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</si>
  <si>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</si>
  <si>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</si>
  <si>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</si>
  <si>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</si>
  <si>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</si>
  <si>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</si>
  <si>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</si>
  <si>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</si>
  <si>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</si>
  <si>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</si>
  <si>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</si>
  <si>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</si>
  <si>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</si>
  <si>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</si>
  <si>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</si>
  <si>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</si>
  <si>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</si>
  <si>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</si>
  <si>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</si>
  <si>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</si>
  <si>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</si>
  <si>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</si>
  <si>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</si>
  <si>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</si>
  <si>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</si>
  <si>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</si>
  <si>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</si>
  <si>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</si>
  <si>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</si>
  <si>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</si>
  <si>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</si>
  <si>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</si>
  <si>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</si>
  <si>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</si>
  <si>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</si>
  <si>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</si>
  <si>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</si>
  <si>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</si>
  <si>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</si>
  <si>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</si>
  <si>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</si>
  <si>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</si>
  <si>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</si>
  <si>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</si>
  <si>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</si>
  <si>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</si>
  <si>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</si>
  <si>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</si>
  <si>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</si>
  <si>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</si>
  <si>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</si>
  <si>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</si>
  <si>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</si>
  <si>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</si>
  <si>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</si>
  <si>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</si>
  <si>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</si>
  <si>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</si>
  <si>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</si>
  <si>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</si>
  <si>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</si>
  <si>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</si>
  <si>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</si>
  <si>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</si>
  <si>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</si>
  <si>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</si>
  <si>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</si>
  <si>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</si>
  <si>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</si>
  <si>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</si>
  <si>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</si>
  <si>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</si>
  <si>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</si>
  <si>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</si>
  <si>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</si>
  <si>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</si>
  <si>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</si>
  <si>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</si>
  <si>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</si>
  <si>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</si>
  <si>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</si>
  <si>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</si>
  <si>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</si>
  <si>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</si>
  <si>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</si>
  <si>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</si>
  <si>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</si>
  <si>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</si>
  <si>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</si>
  <si>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</si>
  <si>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</si>
  <si>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</si>
  <si>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</si>
  <si>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</si>
  <si>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</si>
  <si>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</si>
  <si>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</si>
  <si>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</si>
  <si>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</si>
  <si>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</si>
  <si>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</si>
  <si>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</si>
  <si>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</si>
  <si>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</si>
  <si>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</si>
  <si>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</si>
  <si>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</si>
  <si>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</si>
  <si>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</si>
  <si>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</si>
  <si>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</si>
  <si>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</si>
  <si>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</si>
  <si>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</si>
  <si>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</si>
  <si>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</si>
  <si>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</si>
  <si>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</si>
  <si>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</si>
  <si>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</si>
  <si>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</si>
  <si>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</si>
  <si>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</si>
  <si>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</si>
  <si>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</si>
  <si>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</si>
  <si>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</si>
  <si>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</si>
  <si>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</si>
  <si>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</si>
  <si>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</si>
  <si>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</si>
  <si>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</si>
  <si>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</si>
  <si>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</si>
  <si>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</si>
  <si>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</si>
  <si>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</si>
  <si>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</si>
  <si>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</si>
  <si>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</si>
  <si>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</si>
  <si>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</si>
  <si>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</si>
  <si>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</si>
  <si>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</si>
  <si>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</si>
  <si>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</si>
  <si>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</si>
  <si>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</si>
  <si>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</si>
  <si>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</si>
  <si>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</si>
  <si>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</si>
  <si>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</si>
  <si>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</si>
  <si>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</si>
  <si>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</si>
  <si>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</si>
  <si>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</si>
  <si>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</si>
  <si>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</si>
  <si>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</si>
  <si>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</si>
  <si>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</si>
  <si>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</si>
  <si>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</si>
  <si>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</si>
  <si>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</si>
  <si>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</si>
  <si>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</si>
  <si>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</si>
  <si>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</si>
  <si>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</si>
  <si>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</si>
  <si>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</si>
  <si>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</si>
  <si>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</si>
  <si>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</si>
  <si>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</si>
  <si>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</si>
  <si>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</si>
  <si>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</si>
  <si>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</si>
  <si>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</si>
  <si>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</si>
  <si>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</si>
  <si>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</si>
  <si>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</si>
  <si>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</si>
  <si>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</si>
  <si>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</si>
  <si>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</si>
  <si>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</si>
  <si>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</si>
  <si>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</si>
  <si>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</si>
  <si>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</si>
  <si>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</si>
  <si>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</si>
  <si>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</si>
  <si>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</si>
  <si>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</si>
  <si>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</si>
  <si>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</si>
  <si>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</si>
  <si>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</si>
  <si>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</si>
  <si>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</si>
  <si>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</si>
  <si>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</si>
  <si>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</si>
  <si>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</si>
  <si>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</si>
  <si>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</si>
  <si>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</si>
  <si>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</si>
  <si>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</si>
  <si>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</si>
  <si>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</si>
  <si>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</si>
  <si>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</si>
  <si>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</si>
  <si>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</si>
  <si>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</si>
  <si>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</si>
  <si>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</si>
  <si>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</si>
  <si>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</si>
  <si>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</si>
  <si>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</si>
  <si>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</si>
  <si>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</si>
  <si>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</si>
  <si>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</si>
  <si>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</si>
  <si>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</si>
  <si>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</si>
  <si>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</si>
  <si>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</si>
  <si>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</si>
  <si>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</si>
  <si>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</si>
  <si>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</si>
  <si>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</si>
  <si>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</si>
  <si>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</si>
  <si>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</si>
  <si>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</si>
  <si>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</si>
  <si>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</si>
  <si>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</si>
  <si>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</si>
  <si>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</si>
  <si>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</si>
  <si>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</si>
  <si>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</si>
  <si>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</si>
  <si>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</si>
  <si>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</si>
  <si>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</si>
  <si>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</si>
  <si>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</si>
  <si>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</si>
  <si>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</si>
  <si>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</si>
  <si>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</si>
  <si>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</si>
  <si>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</si>
  <si>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</si>
  <si>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</si>
  <si>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</si>
  <si>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</si>
  <si>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</si>
  <si>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</si>
  <si>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</si>
  <si>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</si>
  <si>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</si>
  <si>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</si>
  <si>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</si>
  <si>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</si>
  <si>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</si>
  <si>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</si>
  <si>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</si>
  <si>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</si>
  <si>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</si>
  <si>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</si>
  <si>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</si>
  <si>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</si>
  <si>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</si>
  <si>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</si>
  <si>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</si>
  <si>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</si>
  <si>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</si>
  <si>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</si>
  <si>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</si>
  <si>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</si>
  <si>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</si>
  <si>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</si>
  <si>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</si>
  <si>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</si>
  <si>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</si>
  <si>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</si>
  <si>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</si>
  <si>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</si>
  <si>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</si>
  <si>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</si>
  <si>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</si>
  <si>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</si>
  <si>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</si>
  <si>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</si>
  <si>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</si>
  <si>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</si>
  <si>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</si>
  <si>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</si>
  <si>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</si>
  <si>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</si>
  <si>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</si>
  <si>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</si>
  <si>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</si>
  <si>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</si>
  <si>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</si>
  <si>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</si>
  <si>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</si>
  <si>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</si>
  <si>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</si>
  <si>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</si>
  <si>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</si>
  <si>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</si>
  <si>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</si>
  <si>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</si>
  <si>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</si>
  <si>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</si>
  <si>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</si>
  <si>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</si>
  <si>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</si>
  <si>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</si>
  <si>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</si>
  <si>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</si>
  <si>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</si>
  <si>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</si>
  <si>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</si>
  <si>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</si>
  <si>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</si>
  <si>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</si>
  <si>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</si>
  <si>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</si>
  <si>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</si>
  <si>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</si>
  <si>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</si>
  <si>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</si>
  <si>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</si>
  <si>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</si>
  <si>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</si>
  <si>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</si>
  <si>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</si>
  <si>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</si>
  <si>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</si>
  <si>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</si>
  <si>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</si>
  <si>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</si>
  <si>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</si>
  <si>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</si>
  <si>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</si>
  <si>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</si>
  <si>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</si>
  <si>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</si>
  <si>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</si>
  <si>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</si>
  <si>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</si>
  <si>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</si>
  <si>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</si>
  <si>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</si>
  <si>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</si>
  <si>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</si>
  <si>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</si>
  <si>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</si>
  <si>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</si>
  <si>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</si>
  <si>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</si>
  <si>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</si>
  <si>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</si>
  <si>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</si>
  <si>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</si>
  <si>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</si>
  <si>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</si>
  <si>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</si>
  <si>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</si>
  <si>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</si>
  <si>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</si>
  <si>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</si>
  <si>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</si>
  <si>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</si>
  <si>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</si>
  <si>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</si>
  <si>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</si>
  <si>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</si>
  <si>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</si>
  <si>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</si>
  <si>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</si>
  <si>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</si>
  <si>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</si>
  <si>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</si>
  <si>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</si>
  <si>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</si>
  <si>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</si>
  <si>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</si>
  <si>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</si>
  <si>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</si>
  <si>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</si>
  <si>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</si>
  <si>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</si>
  <si>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</si>
  <si>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</si>
  <si>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</si>
  <si>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</si>
  <si>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</si>
  <si>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</si>
  <si>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</si>
  <si>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</si>
  <si>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</si>
  <si>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</si>
  <si>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</si>
  <si>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</si>
  <si>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</si>
  <si>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</si>
  <si>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</si>
  <si>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</si>
  <si>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</si>
  <si>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</si>
  <si>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</si>
  <si>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</si>
  <si>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</si>
  <si>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</si>
  <si>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</si>
  <si>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</si>
  <si>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</si>
  <si>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</si>
  <si>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</si>
  <si>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</si>
  <si>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</si>
  <si>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</si>
  <si>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</si>
  <si>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</si>
  <si>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</si>
  <si>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</si>
  <si>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</si>
  <si>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</si>
  <si>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</si>
  <si>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</si>
  <si>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</si>
  <si>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</si>
  <si>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</si>
  <si>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</si>
  <si>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</si>
  <si>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</si>
  <si>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</si>
  <si>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</si>
  <si>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</si>
  <si>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</si>
  <si>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</si>
  <si>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</si>
  <si>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</si>
  <si>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</si>
  <si>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</si>
  <si>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</si>
  <si>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</si>
  <si>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</si>
  <si>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</si>
  <si>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</si>
  <si>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</si>
  <si>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</si>
  <si>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</si>
  <si>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</si>
  <si>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</si>
  <si>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</si>
  <si>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</si>
  <si>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</si>
  <si>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</si>
  <si>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</si>
  <si>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</si>
  <si>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</si>
  <si>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</si>
  <si>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</si>
  <si>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</si>
  <si>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</si>
  <si>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</si>
  <si>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</si>
  <si>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</si>
  <si>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</si>
  <si>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</si>
  <si>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</si>
  <si>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</si>
  <si>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</si>
  <si>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</si>
  <si>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</si>
  <si>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</si>
  <si>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</si>
  <si>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</si>
  <si>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</si>
  <si>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</si>
  <si>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</si>
  <si>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</si>
  <si>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</si>
  <si>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</si>
  <si>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</si>
  <si>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</si>
  <si>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</si>
  <si>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</si>
  <si>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</si>
  <si>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</si>
  <si>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</si>
  <si>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</si>
  <si>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</si>
  <si>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</si>
  <si>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</si>
  <si>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</si>
  <si>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</si>
  <si>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</si>
  <si>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</si>
  <si>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</si>
  <si>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</si>
  <si>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</si>
  <si>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</si>
  <si>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</si>
  <si>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</si>
  <si>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</si>
  <si>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</si>
  <si>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</si>
  <si>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</si>
  <si>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</si>
  <si>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</si>
  <si>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</si>
  <si>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</si>
  <si>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</si>
  <si>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</si>
  <si>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</si>
  <si>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</si>
  <si>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</si>
  <si>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</si>
  <si>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</si>
  <si>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</si>
  <si>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</si>
  <si>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</si>
  <si>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</si>
  <si>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</si>
  <si>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</si>
  <si>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</si>
  <si>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</si>
  <si>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</si>
  <si>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</si>
  <si>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</si>
  <si>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</si>
  <si>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</si>
  <si>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</si>
  <si>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</si>
  <si>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</si>
  <si>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</si>
  <si>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</si>
  <si>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</si>
  <si>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</si>
  <si>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</si>
  <si>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</si>
  <si>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</si>
  <si>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</si>
  <si>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</si>
  <si>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</si>
  <si>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</si>
  <si>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</si>
  <si>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</si>
  <si>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</si>
  <si>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</si>
  <si>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</si>
  <si>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</si>
  <si>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</si>
  <si>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</si>
  <si>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</si>
  <si>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</si>
  <si>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</si>
  <si>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</si>
  <si>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</si>
  <si>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</si>
  <si>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</si>
  <si>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</si>
  <si>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</si>
  <si>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</si>
  <si>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</si>
  <si>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</si>
  <si>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</si>
  <si>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</si>
  <si>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</si>
  <si>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</si>
  <si>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</si>
  <si>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</si>
  <si>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</si>
  <si>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</si>
  <si>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</si>
  <si>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</si>
  <si>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</si>
  <si>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</si>
  <si>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</si>
  <si>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</si>
  <si>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</si>
  <si>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</si>
  <si>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</si>
  <si>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</si>
  <si>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</si>
  <si>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</si>
  <si>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</si>
  <si>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</si>
  <si>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</si>
  <si>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</si>
  <si>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</si>
  <si>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</si>
  <si>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</si>
  <si>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</si>
  <si>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</si>
  <si>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</si>
  <si>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</si>
  <si>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</si>
  <si>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</si>
  <si>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</si>
  <si>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</si>
  <si>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</si>
  <si>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</si>
  <si>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</si>
  <si>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</si>
  <si>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</si>
  <si>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</si>
  <si>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</si>
  <si>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</si>
  <si>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</si>
  <si>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</si>
  <si>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</si>
  <si>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</si>
  <si>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</si>
  <si>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</si>
  <si>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</si>
  <si>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</si>
  <si>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</si>
  <si>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</si>
  <si>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</si>
  <si>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</si>
  <si>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</si>
  <si>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</si>
  <si>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</si>
  <si>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</si>
  <si>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</si>
  <si>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</si>
  <si>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</si>
  <si>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</si>
  <si>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</si>
  <si>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</si>
  <si>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</si>
  <si>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</si>
  <si>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</si>
  <si>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</si>
  <si>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</si>
  <si>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</si>
  <si>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</si>
  <si>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</si>
  <si>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</si>
  <si>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</si>
  <si>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</si>
  <si>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</si>
  <si>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</si>
  <si>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</si>
  <si>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</si>
  <si>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</si>
  <si>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</si>
  <si>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</si>
  <si>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</si>
  <si>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</si>
  <si>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</si>
  <si>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</si>
  <si>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</si>
  <si>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</si>
  <si>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</si>
  <si>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</si>
  <si>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</si>
  <si>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</si>
  <si>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</si>
  <si>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</si>
  <si>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</si>
  <si>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</si>
  <si>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</si>
  <si>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</si>
  <si>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</si>
  <si>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</si>
  <si>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</si>
  <si>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</si>
  <si>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</si>
  <si>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</si>
  <si>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</si>
  <si>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</si>
  <si>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</si>
  <si>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</si>
  <si>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</si>
  <si>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</si>
  <si>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</si>
  <si>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</si>
  <si>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</si>
  <si>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</si>
  <si>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</si>
  <si>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</si>
  <si>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</si>
  <si>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</si>
  <si>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</si>
  <si>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</si>
  <si>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</si>
  <si>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</si>
  <si>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</si>
  <si>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</si>
  <si>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</si>
  <si>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</si>
  <si>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</si>
  <si>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</si>
  <si>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</si>
  <si>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</si>
  <si>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</si>
  <si>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</si>
  <si>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</si>
  <si>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</si>
  <si>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</si>
  <si>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</si>
  <si>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</si>
  <si>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</si>
  <si>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</si>
  <si>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</si>
  <si>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</si>
  <si>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</si>
  <si>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</si>
  <si>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</si>
  <si>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</si>
  <si>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</si>
  <si>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</si>
  <si>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</si>
  <si>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</si>
  <si>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</si>
  <si>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</si>
  <si>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</si>
  <si>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</si>
  <si>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</si>
  <si>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</si>
  <si>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</si>
  <si>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</si>
  <si>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</si>
  <si>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</si>
  <si>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</si>
  <si>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</si>
  <si>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</si>
  <si>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</si>
  <si>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</si>
  <si>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</si>
  <si>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</si>
  <si>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</si>
  <si>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</si>
  <si>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</si>
  <si>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</si>
  <si>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</si>
  <si>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</si>
  <si>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</si>
  <si>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</si>
  <si>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</si>
  <si>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</si>
  <si>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</si>
  <si>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</si>
  <si>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</si>
  <si>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</si>
  <si>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</si>
  <si>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</si>
  <si>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</si>
  <si>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</si>
  <si>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</si>
  <si>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</si>
  <si>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</si>
  <si>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</si>
  <si>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</si>
  <si>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</si>
  <si>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</si>
  <si>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</si>
  <si>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</si>
  <si>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</si>
  <si>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</si>
  <si>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</si>
  <si>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</si>
  <si>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</si>
  <si>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</si>
  <si>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</si>
  <si>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</si>
  <si>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</si>
  <si>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</si>
  <si>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</si>
  <si>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</si>
  <si>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</si>
  <si>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</si>
  <si>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</si>
  <si>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</si>
  <si>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</si>
  <si>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</si>
  <si>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</si>
  <si>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</si>
  <si>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</si>
  <si>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</si>
  <si>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</si>
  <si>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</si>
  <si>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</si>
  <si>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</si>
  <si>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</si>
  <si>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</si>
  <si>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</si>
  <si>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</si>
  <si>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</si>
  <si>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</si>
  <si>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</si>
  <si>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</si>
  <si>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</si>
  <si>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</si>
  <si>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</si>
  <si>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</si>
  <si>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</si>
  <si>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</si>
  <si>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</si>
  <si>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</si>
  <si>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</si>
  <si>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</si>
  <si>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</si>
  <si>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</si>
  <si>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</si>
  <si>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</si>
  <si>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</si>
  <si>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</si>
  <si>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</si>
  <si>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</si>
  <si>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</si>
  <si>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</si>
  <si>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</si>
  <si>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</si>
  <si>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</si>
  <si>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</si>
  <si>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</si>
  <si>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</si>
  <si>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</si>
  <si>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</si>
  <si>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</si>
  <si>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</si>
  <si>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</si>
  <si>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</si>
  <si>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</si>
  <si>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</si>
  <si>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</si>
  <si>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</si>
  <si>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</si>
  <si>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</si>
  <si>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</si>
  <si>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</si>
  <si>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</si>
  <si>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</si>
  <si>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</si>
  <si>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</si>
  <si>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</si>
  <si>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</si>
  <si>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</si>
  <si>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</si>
  <si>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</si>
  <si>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</si>
  <si>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</si>
  <si>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</si>
  <si>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</si>
  <si>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</si>
  <si>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</si>
  <si>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</si>
  <si>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</si>
  <si>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</si>
  <si>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</si>
  <si>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</si>
  <si>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</si>
  <si>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</si>
  <si>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</si>
  <si>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</si>
  <si>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</si>
  <si>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</si>
  <si>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</si>
  <si>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</si>
  <si>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</si>
  <si>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</si>
  <si>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</si>
  <si>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</si>
  <si>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</si>
  <si>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</si>
  <si>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</si>
  <si>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</si>
  <si>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</si>
  <si>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</si>
  <si>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</si>
  <si>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</si>
  <si>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</si>
  <si>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</si>
  <si>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</si>
  <si>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</si>
  <si>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</si>
  <si>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</si>
  <si>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</si>
  <si>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</si>
  <si>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</si>
  <si>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</si>
  <si>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</si>
  <si>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</si>
  <si>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</si>
  <si>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</si>
  <si>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</si>
  <si>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</si>
  <si>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</si>
  <si>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</si>
  <si>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</si>
  <si>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</si>
  <si>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</si>
  <si>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</si>
  <si>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</si>
  <si>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</si>
  <si>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</si>
  <si>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</si>
  <si>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</si>
  <si>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</si>
  <si>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</si>
  <si>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</si>
  <si>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</si>
  <si>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</si>
  <si>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</si>
  <si>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</si>
  <si>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</si>
  <si>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</si>
  <si>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</si>
  <si>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</si>
  <si>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</si>
  <si>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</si>
  <si>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</si>
  <si>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</si>
  <si>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</si>
  <si>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</si>
  <si>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</si>
  <si>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</si>
  <si>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</si>
  <si>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</si>
  <si>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</si>
  <si>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</si>
  <si>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</si>
  <si>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</si>
  <si>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</si>
  <si>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</si>
  <si>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</si>
  <si>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</si>
  <si>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</si>
  <si>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</si>
  <si>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</si>
  <si>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</si>
  <si>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</si>
  <si>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</si>
  <si>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</si>
  <si>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</si>
  <si>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</si>
  <si>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</si>
  <si>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</si>
  <si>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</si>
  <si>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</si>
  <si>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</si>
  <si>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</si>
  <si>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</si>
  <si>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</si>
  <si>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</si>
  <si>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</si>
  <si>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</si>
  <si>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</si>
  <si>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</si>
  <si>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</si>
  <si>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</si>
  <si>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</si>
  <si>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</si>
  <si>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</si>
  <si>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</si>
  <si>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</si>
  <si>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</si>
  <si>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</si>
  <si>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</si>
  <si>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</si>
  <si>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</si>
  <si>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</si>
  <si>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</si>
  <si>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</si>
  <si>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</si>
  <si>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</si>
  <si>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</si>
  <si>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</si>
  <si>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</si>
  <si>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</si>
  <si>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</si>
  <si>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</si>
  <si>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</si>
  <si>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</si>
  <si>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</si>
  <si>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</si>
  <si>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</si>
  <si>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</si>
  <si>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</si>
  <si>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</si>
  <si>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</si>
  <si>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</si>
  <si>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</si>
  <si>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</si>
  <si>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</si>
  <si>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</si>
  <si>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</si>
  <si>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</si>
  <si>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</si>
  <si>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</si>
  <si>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</si>
  <si>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</si>
  <si>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</si>
  <si>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</si>
  <si>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</si>
  <si>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</si>
  <si>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</si>
  <si>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</si>
  <si>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</si>
  <si>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</si>
  <si>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</si>
  <si>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</si>
  <si>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</si>
  <si>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</si>
  <si>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</si>
  <si>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</si>
  <si>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</si>
  <si>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</si>
  <si>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</si>
  <si>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</si>
  <si>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</si>
  <si>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</si>
  <si>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</si>
  <si>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</si>
  <si>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</si>
  <si>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</si>
  <si>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</si>
  <si>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</si>
  <si>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</si>
  <si>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</si>
  <si>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</si>
  <si>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</si>
  <si>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</si>
  <si>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</si>
  <si>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</si>
  <si>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</si>
  <si>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</si>
  <si>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</si>
  <si>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</si>
  <si>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</si>
  <si>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</si>
  <si>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</si>
  <si>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</si>
  <si>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</si>
  <si>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</si>
  <si>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</si>
  <si>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</si>
  <si>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</si>
  <si>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</si>
  <si>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</si>
  <si>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</si>
  <si>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</si>
  <si>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</si>
  <si>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</si>
  <si>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</si>
  <si>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</si>
  <si>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</si>
  <si>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</si>
  <si>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</si>
  <si>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</si>
  <si>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</si>
  <si>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</si>
  <si>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</si>
  <si>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</si>
  <si>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</si>
  <si>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</si>
  <si>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</si>
  <si>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</si>
  <si>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</si>
  <si>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</si>
  <si>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</si>
  <si>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</si>
  <si>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</si>
  <si>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</si>
  <si>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</si>
  <si>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</si>
  <si>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</si>
  <si>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</si>
  <si>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</si>
  <si>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</si>
  <si>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</si>
  <si>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</si>
  <si>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</si>
  <si>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</si>
  <si>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</si>
  <si>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</si>
  <si>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</si>
  <si>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</si>
  <si>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</si>
  <si>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</si>
  <si>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</si>
  <si>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</si>
  <si>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</si>
  <si>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</si>
  <si>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</si>
  <si>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</si>
  <si>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</si>
  <si>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</si>
  <si>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</si>
  <si>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</si>
  <si>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</si>
  <si>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</si>
  <si>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</si>
  <si>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</si>
  <si>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</si>
  <si>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</si>
  <si>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</si>
  <si>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</si>
  <si>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</si>
  <si>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</si>
  <si>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</si>
  <si>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</si>
  <si>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</si>
  <si>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</si>
  <si>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</si>
  <si>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</si>
  <si>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</si>
  <si>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</si>
  <si>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</si>
  <si>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</si>
  <si>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</si>
  <si>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</si>
  <si>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</si>
  <si>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</si>
  <si>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</si>
  <si>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</si>
  <si>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</si>
  <si>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</si>
  <si>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</si>
  <si>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</si>
  <si>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</si>
  <si>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</si>
  <si>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</si>
  <si>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</si>
  <si>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</si>
  <si>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</si>
  <si>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</si>
  <si>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</si>
  <si>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</si>
  <si>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</si>
  <si>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</si>
  <si>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</si>
  <si>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</si>
  <si>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</si>
  <si>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</si>
  <si>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</si>
  <si>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</si>
  <si>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</si>
  <si>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</si>
  <si>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</si>
  <si>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</si>
  <si>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</si>
  <si>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</si>
  <si>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</si>
  <si>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</si>
  <si>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</si>
  <si>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</si>
  <si>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</si>
  <si>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</si>
  <si>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</si>
  <si>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</si>
  <si>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</si>
  <si>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</si>
  <si>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</si>
  <si>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</si>
  <si>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</si>
  <si>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</si>
  <si>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</si>
  <si>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</si>
  <si>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</si>
  <si>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</si>
  <si>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</si>
  <si>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</si>
  <si>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</si>
  <si>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</si>
  <si>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</si>
  <si>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</si>
  <si>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</si>
  <si>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</si>
  <si>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</si>
  <si>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</si>
  <si>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</si>
  <si>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</si>
  <si>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</si>
  <si>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</si>
  <si>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</si>
  <si>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</si>
  <si>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</si>
  <si>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</si>
  <si>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</si>
  <si>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</si>
  <si>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</si>
  <si>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</si>
  <si>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</si>
  <si>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</si>
  <si>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</si>
  <si>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</si>
  <si>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</si>
  <si>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</si>
  <si>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</si>
  <si>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</si>
  <si>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</si>
  <si>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</si>
  <si>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</si>
  <si>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</si>
  <si>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</si>
  <si>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</si>
  <si>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</si>
  <si>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</si>
  <si>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</si>
  <si>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</si>
  <si>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</si>
  <si>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</si>
  <si>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</si>
  <si>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</si>
  <si>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</si>
  <si>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</si>
  <si>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</si>
  <si>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</si>
  <si>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</si>
  <si>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</si>
  <si>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</si>
  <si>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</si>
  <si>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</si>
  <si>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</si>
  <si>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</si>
  <si>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</si>
  <si>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</si>
  <si>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</si>
  <si>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</si>
  <si>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</si>
  <si>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</si>
  <si>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</si>
  <si>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</si>
  <si>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</si>
  <si>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</si>
  <si>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</si>
  <si>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</si>
  <si>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</si>
  <si>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</si>
  <si>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</si>
  <si>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</si>
  <si>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</si>
  <si>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</si>
  <si>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</si>
  <si>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</si>
  <si>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</si>
  <si>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</si>
  <si>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</si>
  <si>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</si>
  <si>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</si>
  <si>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</si>
  <si>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</si>
  <si>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</si>
  <si>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</si>
  <si>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</si>
  <si>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</si>
  <si>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</si>
  <si>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</si>
  <si>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</si>
  <si>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</si>
  <si>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</si>
  <si>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</si>
  <si>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</si>
  <si>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</si>
  <si>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</si>
  <si>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</si>
  <si>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</si>
  <si>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</si>
  <si>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</si>
  <si>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</si>
  <si>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</si>
  <si>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</si>
  <si>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</si>
  <si>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</si>
  <si>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</si>
  <si>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</si>
  <si>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</si>
  <si>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</si>
  <si>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</si>
  <si>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</si>
  <si>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</si>
  <si>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</si>
  <si>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</si>
  <si>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</si>
  <si>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</si>
  <si>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</si>
  <si>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</si>
  <si>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</si>
  <si>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</si>
  <si>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</si>
  <si>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</si>
  <si>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</si>
  <si>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</si>
  <si>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</si>
  <si>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</si>
  <si>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</si>
  <si>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</si>
  <si>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</si>
  <si>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</si>
  <si>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</si>
  <si>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</si>
  <si>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</si>
  <si>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</si>
  <si>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</si>
  <si>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</si>
  <si>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</si>
  <si>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</si>
  <si>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</si>
  <si>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</si>
  <si>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</si>
  <si>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</si>
  <si>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</si>
  <si>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</si>
  <si>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</si>
  <si>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</si>
  <si>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</si>
  <si>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</si>
  <si>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</si>
  <si>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</si>
  <si>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</si>
  <si>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</si>
  <si>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</si>
  <si>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</si>
  <si>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</si>
  <si>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</si>
  <si>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</si>
  <si>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</si>
  <si>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</si>
  <si>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</si>
  <si>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</si>
  <si>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</si>
  <si>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</si>
  <si>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</si>
  <si>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</si>
  <si>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</si>
  <si>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</si>
  <si>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</si>
  <si>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</si>
  <si>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</si>
  <si>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</si>
  <si>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</si>
  <si>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</si>
  <si>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</si>
  <si>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</si>
  <si>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</si>
  <si>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</si>
  <si>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</si>
  <si>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</si>
  <si>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</si>
  <si>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</si>
  <si>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</si>
  <si>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</si>
  <si>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</si>
  <si>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</si>
  <si>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</si>
  <si>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</si>
  <si>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</si>
  <si>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</si>
  <si>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</si>
  <si>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</si>
  <si>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</si>
  <si>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</si>
  <si>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</si>
  <si>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</si>
  <si>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</si>
  <si>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</si>
  <si>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</si>
  <si>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</si>
  <si>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</si>
  <si>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</si>
  <si>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</si>
  <si>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</si>
  <si>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</si>
  <si>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</si>
  <si>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</si>
  <si>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</si>
  <si>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</si>
  <si>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</si>
  <si>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</si>
  <si>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</si>
  <si>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</si>
  <si>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</si>
  <si>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</si>
  <si>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</si>
  <si>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</si>
  <si>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</si>
  <si>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</si>
  <si>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</si>
  <si>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</si>
  <si>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</si>
  <si>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</si>
  <si>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</si>
  <si>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</si>
  <si>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</si>
  <si>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</si>
  <si>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</si>
  <si>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</si>
  <si>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</si>
  <si>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</si>
  <si>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</si>
  <si>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</si>
  <si>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</si>
  <si>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</si>
  <si>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</si>
  <si>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</si>
  <si>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</si>
  <si>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</si>
  <si>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</si>
  <si>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</si>
  <si>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</si>
  <si>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</si>
  <si>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</si>
  <si>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</si>
  <si>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</si>
  <si>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</si>
  <si>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</si>
  <si>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</si>
  <si>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</si>
  <si>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</si>
  <si>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</si>
  <si>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</si>
  <si>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</si>
  <si>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</si>
  <si>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</si>
  <si>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</si>
  <si>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</si>
  <si>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</si>
  <si>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</si>
  <si>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</si>
  <si>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</si>
  <si>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</si>
  <si>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</si>
  <si>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</si>
  <si>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</si>
  <si>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</si>
  <si>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</si>
  <si>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</si>
  <si>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</si>
  <si>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</si>
  <si>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</si>
  <si>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</si>
  <si>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</si>
  <si>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</si>
  <si>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</si>
  <si>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</si>
  <si>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</si>
  <si>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</si>
  <si>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</si>
  <si>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</si>
  <si>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</si>
  <si>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</si>
  <si>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</si>
  <si>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</si>
  <si>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</si>
  <si>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</si>
  <si>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</si>
  <si>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</si>
  <si>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</si>
  <si>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</si>
  <si>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</si>
  <si>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</si>
  <si>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</si>
  <si>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</si>
  <si>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</si>
  <si>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</si>
  <si>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</si>
  <si>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</si>
  <si>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</si>
  <si>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</si>
  <si>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</si>
  <si>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</si>
  <si>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</si>
  <si>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</si>
  <si>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</si>
  <si>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</si>
  <si>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</si>
  <si>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</si>
  <si>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</si>
  <si>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</si>
  <si>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</si>
  <si>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</si>
  <si>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</si>
  <si>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</si>
  <si>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</si>
  <si>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</si>
  <si>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</si>
  <si>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</si>
  <si>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</si>
  <si>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</si>
  <si>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</si>
  <si>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</si>
  <si>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</si>
  <si>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</si>
  <si>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</si>
  <si>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</si>
  <si>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</si>
  <si>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</si>
  <si>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</si>
  <si>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</si>
  <si>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</si>
  <si>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</si>
  <si>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</si>
  <si>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</si>
  <si>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</si>
  <si>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</si>
  <si>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</si>
  <si>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</si>
  <si>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</si>
  <si>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</si>
  <si>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</si>
  <si>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</si>
  <si>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</si>
  <si>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</si>
  <si>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</si>
  <si>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</si>
  <si>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</si>
  <si>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</si>
  <si>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</si>
  <si>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</si>
  <si>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</si>
  <si>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</si>
  <si>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</si>
  <si>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</si>
  <si>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</si>
  <si>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</si>
  <si>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</si>
  <si>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</si>
  <si>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</si>
  <si>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</si>
  <si>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</si>
  <si>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</si>
  <si>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</si>
  <si>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</si>
  <si>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</si>
  <si>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</si>
  <si>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</si>
  <si>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</si>
  <si>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</si>
  <si>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</si>
  <si>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</si>
  <si>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</si>
  <si>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</si>
  <si>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</si>
  <si>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</si>
  <si>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</si>
  <si>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</si>
  <si>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</si>
  <si>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</si>
  <si>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</si>
  <si>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</si>
  <si>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</si>
  <si>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</si>
  <si>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</si>
  <si>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</si>
  <si>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</si>
  <si>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</si>
  <si>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</si>
  <si>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</si>
  <si>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</si>
  <si>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</si>
  <si>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</si>
  <si>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</si>
  <si>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</si>
  <si>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</si>
  <si>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</si>
  <si>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</si>
  <si>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</si>
  <si>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</si>
  <si>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</si>
  <si>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</si>
  <si>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</si>
  <si>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</si>
  <si>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</si>
  <si>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</si>
  <si>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</si>
  <si>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</si>
  <si>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</si>
  <si>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</si>
  <si>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</si>
  <si>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</si>
  <si>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</si>
  <si>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</si>
  <si>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</si>
  <si>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</si>
  <si>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</si>
  <si>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</si>
  <si>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</si>
  <si>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</si>
  <si>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</si>
  <si>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</si>
  <si>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</si>
  <si>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</si>
  <si>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</si>
  <si>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</si>
  <si>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</si>
  <si>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</si>
  <si>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</si>
  <si>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</si>
  <si>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</si>
  <si>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</si>
  <si>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</si>
  <si>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</si>
  <si>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</si>
  <si>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</si>
  <si>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</si>
  <si>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</si>
  <si>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</si>
  <si>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</si>
  <si>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</si>
  <si>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</si>
  <si>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</si>
  <si>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</si>
  <si>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</si>
  <si>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</si>
  <si>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</si>
  <si>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</si>
  <si>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</si>
  <si>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</si>
  <si>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</si>
  <si>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</si>
  <si>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</si>
  <si>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</si>
  <si>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</si>
  <si>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</si>
  <si>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</si>
  <si>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</si>
  <si>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</si>
  <si>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</si>
  <si>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</si>
  <si>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</si>
  <si>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</si>
  <si>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</si>
  <si>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</si>
  <si>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</si>
  <si>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</si>
  <si>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</si>
  <si>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</si>
  <si>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</si>
  <si>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</si>
  <si>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</si>
  <si>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</si>
  <si>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</si>
  <si>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</si>
  <si>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</si>
  <si>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</si>
  <si>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</si>
  <si>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</si>
  <si>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</si>
  <si>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</si>
  <si>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</si>
  <si>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</si>
  <si>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</si>
  <si>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</si>
  <si>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</si>
  <si>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</si>
  <si>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</si>
  <si>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</si>
  <si>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</si>
  <si>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</si>
  <si>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</si>
  <si>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</si>
  <si>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</si>
  <si>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</si>
  <si>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</si>
  <si>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</si>
  <si>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</si>
  <si>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</si>
  <si>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</si>
  <si>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</si>
  <si>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</si>
  <si>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</si>
  <si>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</si>
  <si>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</si>
  <si>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</si>
  <si>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</si>
  <si>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</si>
  <si>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</si>
  <si>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</si>
  <si>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</si>
  <si>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</si>
  <si>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</si>
  <si>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</si>
  <si>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</si>
  <si>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</si>
  <si>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</si>
  <si>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</si>
  <si>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</si>
  <si>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</si>
  <si>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</si>
  <si>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</si>
  <si>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</si>
  <si>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</si>
  <si>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</si>
  <si>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</si>
  <si>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</si>
  <si>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</si>
  <si>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</si>
  <si>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</si>
  <si>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</si>
  <si>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</si>
  <si>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</si>
  <si>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</si>
  <si>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</si>
  <si>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</si>
  <si>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</si>
  <si>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</si>
  <si>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</si>
  <si>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</si>
  <si>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</si>
  <si>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</si>
  <si>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</si>
  <si>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</si>
  <si>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</si>
  <si>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</si>
  <si>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</si>
  <si>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</si>
  <si>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</si>
  <si>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</si>
  <si>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</si>
  <si>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</si>
  <si>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</si>
  <si>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</si>
  <si>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</si>
  <si>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</si>
  <si>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</si>
  <si>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</si>
  <si>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</si>
  <si>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</si>
  <si>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</si>
  <si>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</si>
  <si>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</si>
  <si>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</si>
  <si>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</si>
  <si>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</si>
  <si>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</si>
  <si>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</si>
  <si>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</si>
  <si>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</si>
  <si>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</si>
  <si>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</si>
  <si>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</si>
  <si>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</si>
  <si>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</si>
  <si>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</si>
  <si>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</si>
  <si>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</si>
  <si>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</si>
  <si>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</si>
  <si>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</si>
  <si>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</si>
  <si>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</si>
  <si>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</si>
  <si>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</si>
  <si>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</si>
  <si>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</si>
  <si>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</si>
  <si>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</si>
  <si>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</si>
  <si>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</si>
  <si>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</si>
  <si>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</si>
  <si>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</si>
  <si>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</si>
  <si>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</si>
  <si>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</si>
  <si>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</si>
  <si>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</si>
  <si>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</si>
  <si>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</si>
  <si>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</si>
  <si>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</si>
  <si>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</si>
  <si>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</si>
  <si>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</si>
  <si>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</si>
  <si>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</si>
  <si>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</si>
  <si>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</si>
  <si>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</si>
  <si>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</si>
  <si>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</si>
  <si>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</si>
  <si>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</si>
  <si>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</si>
  <si>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</si>
  <si>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</si>
  <si>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</si>
  <si>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</si>
  <si>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</si>
  <si>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</si>
  <si>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</si>
  <si>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</si>
  <si>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</si>
  <si>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</si>
  <si>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</si>
  <si>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</si>
  <si>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</si>
  <si>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</si>
  <si>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</si>
  <si>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</si>
  <si>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</si>
  <si>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</si>
  <si>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</si>
  <si>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</si>
  <si>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</si>
  <si>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</si>
  <si>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</si>
  <si>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</si>
  <si>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</si>
  <si>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</si>
  <si>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</si>
  <si>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</si>
  <si>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</si>
  <si>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</si>
  <si>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</si>
  <si>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</si>
  <si>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</si>
  <si>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</si>
  <si>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</si>
  <si>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</si>
  <si>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</si>
  <si>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</si>
  <si>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</si>
  <si>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</si>
  <si>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</si>
  <si>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</si>
  <si>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</si>
  <si>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</si>
  <si>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</si>
  <si>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</si>
  <si>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</si>
  <si>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</si>
  <si>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</si>
  <si>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</si>
  <si>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</si>
  <si>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</si>
  <si>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</si>
  <si>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</si>
  <si>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</si>
  <si>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</si>
  <si>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</si>
  <si>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</si>
  <si>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</si>
  <si>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</si>
  <si>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</si>
  <si>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</si>
  <si>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</si>
  <si>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</si>
  <si>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</si>
  <si>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</si>
  <si>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</si>
  <si>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</si>
  <si>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</si>
  <si>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</si>
  <si>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</si>
  <si>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</si>
  <si>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</si>
  <si>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</si>
  <si>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</si>
  <si>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</si>
  <si>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</si>
  <si>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</si>
  <si>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</si>
  <si>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</si>
  <si>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</si>
  <si>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</si>
  <si>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</si>
  <si>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</si>
  <si>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</si>
  <si>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</si>
  <si>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</si>
  <si>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</si>
  <si>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</si>
  <si>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</si>
  <si>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</si>
  <si>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</si>
  <si>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</si>
  <si>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</si>
  <si>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</si>
  <si>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</si>
  <si>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</si>
  <si>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</si>
  <si>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</si>
  <si>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</si>
  <si>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</si>
  <si>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</si>
  <si>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</si>
  <si>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</si>
  <si>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</si>
  <si>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</si>
  <si>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</si>
  <si>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</si>
  <si>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</si>
  <si>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</si>
  <si>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</si>
  <si>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</si>
  <si>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</si>
  <si>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</si>
  <si>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</si>
  <si>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</si>
  <si>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</si>
  <si>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</si>
  <si>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</si>
  <si>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</si>
  <si>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</si>
  <si>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</si>
  <si>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</si>
  <si>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</si>
  <si>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</si>
  <si>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</si>
  <si>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</si>
  <si>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</si>
  <si>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</si>
  <si>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</si>
  <si>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</si>
  <si>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</si>
  <si>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</si>
  <si>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</si>
  <si>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</si>
  <si>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</si>
  <si>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</si>
  <si>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</si>
  <si>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</si>
  <si>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</si>
  <si>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</si>
  <si>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</si>
  <si>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</si>
  <si>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</si>
  <si>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</si>
  <si>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</si>
  <si>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</si>
  <si>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</si>
  <si>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</si>
  <si>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</si>
  <si>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</si>
  <si>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</si>
  <si>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</si>
  <si>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</si>
  <si>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</si>
  <si>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</si>
  <si>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</si>
  <si>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</si>
  <si>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</si>
  <si>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</si>
  <si>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</si>
  <si>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</si>
  <si>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</si>
  <si>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</si>
  <si>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</si>
  <si>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</si>
  <si>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</si>
  <si>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</si>
  <si>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</si>
  <si>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</si>
  <si>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</si>
  <si>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</si>
  <si>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</si>
  <si>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</si>
  <si>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</si>
  <si>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</si>
  <si>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</si>
  <si>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</si>
  <si>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</si>
  <si>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</si>
  <si>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</si>
  <si>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</si>
  <si>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</si>
  <si>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</si>
  <si>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</si>
  <si>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</si>
  <si>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</si>
  <si>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</si>
  <si>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</si>
  <si>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</si>
  <si>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</si>
  <si>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</si>
  <si>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</si>
  <si>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</si>
  <si>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</si>
  <si>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</si>
  <si>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</si>
  <si>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</si>
  <si>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</si>
  <si>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</si>
  <si>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</si>
  <si>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</si>
  <si>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</si>
  <si>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</si>
  <si>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</si>
  <si>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</si>
  <si>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</si>
  <si>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</si>
  <si>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</si>
  <si>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</si>
  <si>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</si>
  <si>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</si>
  <si>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</si>
  <si>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</si>
  <si>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</si>
  <si>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</si>
  <si>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</si>
  <si>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</si>
  <si>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</si>
  <si>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</si>
  <si>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</si>
  <si>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</si>
  <si>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</si>
  <si>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</si>
  <si>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</si>
  <si>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</si>
  <si>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</si>
  <si>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</si>
  <si>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</si>
  <si>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</si>
  <si>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</si>
  <si>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</si>
  <si>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</si>
  <si>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</si>
  <si>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</si>
  <si>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</si>
  <si>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</si>
  <si>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</si>
  <si>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</si>
  <si>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</si>
  <si>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</si>
  <si>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</si>
  <si>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</si>
  <si>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</si>
  <si>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</si>
  <si>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</si>
  <si>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</si>
  <si>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</si>
  <si>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</si>
  <si>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</si>
  <si>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</si>
  <si>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</si>
  <si>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</si>
  <si>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</si>
  <si>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</si>
  <si>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</si>
  <si>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</si>
  <si>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</si>
  <si>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</si>
  <si>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</si>
  <si>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</si>
  <si>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</si>
  <si>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</si>
  <si>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</si>
  <si>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</si>
  <si>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</si>
  <si>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</si>
  <si>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</si>
  <si>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</si>
  <si>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</si>
  <si>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</si>
  <si>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</si>
  <si>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</si>
  <si>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</si>
  <si>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</si>
  <si>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</si>
  <si>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</si>
  <si>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</si>
  <si>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</si>
  <si>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</si>
  <si>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</si>
  <si>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</si>
  <si>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</si>
  <si>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</si>
  <si>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</si>
  <si>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</si>
  <si>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</si>
  <si>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</si>
  <si>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</si>
  <si>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</si>
  <si>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</si>
  <si>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</si>
  <si>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</si>
  <si>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</si>
  <si>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</si>
  <si>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</si>
  <si>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</si>
  <si>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</si>
  <si>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</si>
  <si>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</si>
  <si>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</si>
  <si>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</si>
  <si>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</si>
  <si>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</si>
  <si>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</si>
  <si>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</si>
  <si>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</si>
  <si>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</si>
  <si>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</si>
  <si>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</si>
  <si>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</si>
  <si>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</si>
  <si>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</si>
  <si>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</si>
  <si>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</si>
  <si>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</si>
  <si>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</si>
  <si>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</si>
  <si>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</si>
  <si>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</si>
  <si>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</si>
  <si>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</si>
  <si>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</si>
  <si>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</si>
  <si>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</si>
  <si>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</si>
  <si>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</si>
  <si>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</si>
  <si>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</si>
  <si>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</si>
  <si>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</si>
  <si>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</si>
  <si>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</si>
  <si>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</si>
  <si>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</si>
  <si>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</si>
  <si>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</si>
  <si>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</si>
  <si>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</si>
  <si>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</si>
  <si>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</si>
  <si>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</si>
  <si>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</si>
  <si>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</si>
  <si>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</si>
  <si>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</si>
  <si>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</si>
  <si>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</si>
  <si>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</si>
  <si>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</si>
  <si>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</si>
  <si>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</si>
  <si>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</si>
  <si>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</si>
  <si>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</si>
  <si>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</si>
  <si>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</si>
  <si>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</si>
  <si>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</si>
  <si>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</si>
  <si>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</si>
  <si>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</si>
  <si>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</si>
  <si>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</si>
  <si>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</si>
  <si>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</si>
  <si>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</si>
  <si>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</si>
  <si>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</si>
  <si>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</si>
  <si>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</si>
  <si>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</si>
  <si>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</si>
  <si>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</si>
  <si>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</si>
  <si>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</si>
  <si>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</si>
  <si>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</si>
  <si>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</si>
  <si>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</si>
  <si>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</si>
  <si>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</si>
  <si>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</si>
  <si>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</si>
  <si>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</si>
  <si>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</si>
  <si>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</si>
  <si>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</si>
  <si>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</si>
  <si>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</si>
  <si>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</si>
  <si>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</si>
  <si>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</si>
  <si>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</si>
  <si>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</si>
  <si>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</si>
  <si>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</si>
  <si>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</si>
  <si>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</si>
  <si>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</si>
  <si>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</si>
  <si>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89801268320</t>
  </si>
  <si>
    <t>02678535</t>
  </si>
  <si>
    <t>060264886</t>
  </si>
  <si>
    <t>SPLITSKA OBALA d.o.o.</t>
  </si>
  <si>
    <t>SPLIT</t>
  </si>
  <si>
    <t>Ulica kralja Zvonimira 14</t>
  </si>
  <si>
    <t>info@splitskaobala.hr</t>
  </si>
  <si>
    <t>www.splitskaobala.hr</t>
  </si>
  <si>
    <t>Ivana Kapović</t>
  </si>
  <si>
    <t>021/355-139</t>
  </si>
  <si>
    <t>ivana.kapovic@splitskaobala.hr</t>
  </si>
  <si>
    <t>Dražen Delić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</si>
</sst>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1057812.82</v>
      </c>
      <c r="I3" s="31">
        <f>ABS(ROUND(J3,0)-J3)+ABS(ROUND(K3,0)-K3)</f>
        <v>0</v>
      </c>
      <c r="J3" s="31">
        <f>Bilanca!I10</f>
        <v>18247189</v>
      </c>
      <c r="K3" s="31">
        <f>Bilanca!J10</f>
        <v>17321726</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02678535</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060264886</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89801268320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SPLITSKA OBALA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SPLIT</v>
      </c>
      <c r="D11" s="4" t="s">
        <v>1521</v>
      </c>
      <c r="E11" s="4">
        <v>1</v>
      </c>
      <c r="F11" s="4">
        <f>Bilanca!G18</f>
        <v>10</v>
      </c>
      <c r="G11" s="4">
        <f>IF(Bilanca!H18=0,"",Bilanca!H18)</f>
      </c>
      <c r="H11" s="30">
        <f t="shared" si="0"/>
        <v>5289064.100000001</v>
      </c>
      <c r="I11" s="31">
        <f t="shared" si="1"/>
        <v>0</v>
      </c>
      <c r="J11" s="31">
        <f>Bilanca!I18</f>
        <v>18247189</v>
      </c>
      <c r="K11" s="31">
        <f>Bilanca!J18</f>
        <v>17321726</v>
      </c>
    </row>
    <row r="12" spans="1:11" ht="12.75">
      <c r="A12" s="4" t="s">
        <v>2357</v>
      </c>
      <c r="B12" s="29" t="str">
        <f>TRIM(RefStr!C33)</f>
        <v>Ulica kralja Zvonimira 14</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info@splitskaobala.hr</v>
      </c>
      <c r="D13" s="4" t="s">
        <v>1521</v>
      </c>
      <c r="E13" s="4">
        <v>1</v>
      </c>
      <c r="F13" s="4">
        <f>Bilanca!G20</f>
        <v>12</v>
      </c>
      <c r="G13" s="4">
        <f>IF(Bilanca!H20=0,"",Bilanca!H20)</f>
      </c>
      <c r="H13" s="30">
        <f t="shared" si="0"/>
        <v>6176994</v>
      </c>
      <c r="I13" s="31">
        <f t="shared" si="1"/>
        <v>0</v>
      </c>
      <c r="J13" s="31">
        <f>Bilanca!I20</f>
        <v>17714880</v>
      </c>
      <c r="K13" s="31">
        <f>Bilanca!J20</f>
        <v>16880035</v>
      </c>
    </row>
    <row r="14" spans="1:11" ht="12.75">
      <c r="A14" s="4" t="s">
        <v>1194</v>
      </c>
      <c r="B14" s="29" t="str">
        <f>TRIM(RefStr!C37)</f>
        <v>www.splitskaobala.hr</v>
      </c>
      <c r="D14" s="4" t="s">
        <v>1521</v>
      </c>
      <c r="E14" s="4">
        <v>1</v>
      </c>
      <c r="F14" s="4">
        <f>Bilanca!G21</f>
        <v>13</v>
      </c>
      <c r="G14" s="4">
        <f>IF(Bilanca!H21=0,"",Bilanca!H21)</f>
      </c>
      <c r="H14" s="30">
        <f t="shared" si="0"/>
        <v>135694.39</v>
      </c>
      <c r="I14" s="31">
        <f t="shared" si="1"/>
        <v>0</v>
      </c>
      <c r="J14" s="31">
        <f>Bilanca!I21</f>
        <v>382413</v>
      </c>
      <c r="K14" s="31">
        <f>Bilanca!J21</f>
        <v>330695</v>
      </c>
    </row>
    <row r="15" spans="1:11" ht="12.75">
      <c r="A15" s="4" t="s">
        <v>2360</v>
      </c>
      <c r="B15" s="29" t="str">
        <f>TEXT(RefStr!J39,"00")</f>
        <v>17</v>
      </c>
      <c r="D15" s="4" t="s">
        <v>1521</v>
      </c>
      <c r="E15" s="4">
        <v>1</v>
      </c>
      <c r="F15" s="4">
        <f>Bilanca!G22</f>
        <v>14</v>
      </c>
      <c r="G15" s="4">
        <f>IF(Bilanca!H22=0,"",Bilanca!H22)</f>
      </c>
      <c r="H15" s="30">
        <f t="shared" si="0"/>
        <v>34650</v>
      </c>
      <c r="I15" s="31">
        <f t="shared" si="1"/>
        <v>0</v>
      </c>
      <c r="J15" s="31">
        <f>Bilanca!I22</f>
        <v>102500</v>
      </c>
      <c r="K15" s="31">
        <f>Bilanca!J22</f>
        <v>72500</v>
      </c>
    </row>
    <row r="16" spans="1:11" ht="12.75">
      <c r="A16" s="4" t="s">
        <v>2359</v>
      </c>
      <c r="B16" s="29" t="str">
        <f>TEXT(RefStr!C39,"000")</f>
        <v>409</v>
      </c>
      <c r="D16" s="4" t="s">
        <v>1521</v>
      </c>
      <c r="E16" s="4">
        <v>1</v>
      </c>
      <c r="F16" s="4">
        <f>Bilanca!G23</f>
        <v>15</v>
      </c>
      <c r="G16" s="4">
        <f>IF(Bilanca!H23=0,"",Bilanca!H23)</f>
      </c>
      <c r="H16" s="30">
        <f t="shared" si="0"/>
        <v>18658.199999999997</v>
      </c>
      <c r="I16" s="31">
        <f t="shared" si="1"/>
        <v>0</v>
      </c>
      <c r="J16" s="31">
        <f>Bilanca!I23</f>
        <v>47396</v>
      </c>
      <c r="K16" s="31">
        <f>Bilanca!J23</f>
        <v>38496</v>
      </c>
    </row>
    <row r="17" spans="1:11" ht="12.75">
      <c r="A17" s="4" t="s">
        <v>2358</v>
      </c>
      <c r="B17" s="29" t="str">
        <f>RefStr!C42</f>
        <v>6820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8845369.48</v>
      </c>
      <c r="I38" s="31">
        <f t="shared" si="1"/>
        <v>0</v>
      </c>
      <c r="J38" s="31">
        <f>Bilanca!I45</f>
        <v>7039658</v>
      </c>
      <c r="K38" s="31">
        <f>Bilanca!J45</f>
        <v>8433373</v>
      </c>
    </row>
    <row r="39" spans="1:11" ht="12.75">
      <c r="A39" s="4" t="s">
        <v>1216</v>
      </c>
      <c r="B39" s="29" t="str">
        <f>RefStr!C68</f>
        <v>Ivana Kapović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021/355-139</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ivana.kapovic@splitskaobala.hr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Dražen Delić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759061.64</v>
      </c>
      <c r="I47" s="31">
        <f t="shared" si="3"/>
        <v>0</v>
      </c>
      <c r="J47" s="31">
        <f>Bilanca!I54</f>
        <v>599560</v>
      </c>
      <c r="K47" s="31">
        <f>Bilanca!J54</f>
        <v>525287</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796322.52</v>
      </c>
      <c r="I50" s="31">
        <f t="shared" si="3"/>
        <v>0</v>
      </c>
      <c r="J50" s="31">
        <f>Bilanca!I57</f>
        <v>583236</v>
      </c>
      <c r="K50" s="31">
        <f>Bilanca!J57</f>
        <v>520956</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5984.34</v>
      </c>
      <c r="I52" s="31">
        <f t="shared" si="3"/>
        <v>0</v>
      </c>
      <c r="J52" s="31">
        <f>Bilanca!I59</f>
        <v>8514</v>
      </c>
      <c r="K52" s="31">
        <f>Bilanca!J59</f>
        <v>1610</v>
      </c>
    </row>
    <row r="53" spans="1:11" ht="12.75">
      <c r="A53" s="4" t="s">
        <v>532</v>
      </c>
      <c r="B53" s="29" t="str">
        <f>RefStr!I56</f>
        <v>NE</v>
      </c>
      <c r="D53" s="4" t="s">
        <v>1521</v>
      </c>
      <c r="E53" s="4">
        <v>1</v>
      </c>
      <c r="F53" s="4">
        <f>Bilanca!G60</f>
        <v>52</v>
      </c>
      <c r="G53" s="4">
        <f>IF(Bilanca!H60=0,"",Bilanca!H60)</f>
      </c>
      <c r="H53" s="30">
        <f t="shared" si="2"/>
        <v>6891.04</v>
      </c>
      <c r="I53" s="31">
        <f t="shared" si="3"/>
        <v>0</v>
      </c>
      <c r="J53" s="31">
        <f>Bilanca!I60</f>
        <v>7810</v>
      </c>
      <c r="K53" s="31">
        <f>Bilanca!J60</f>
        <v>2721</v>
      </c>
    </row>
    <row r="54" spans="1:11" ht="12.75">
      <c r="A54" s="4" t="s">
        <v>533</v>
      </c>
      <c r="B54" s="29" t="str">
        <f>RefStr!I62</f>
        <v>NE</v>
      </c>
      <c r="D54" s="4" t="s">
        <v>1521</v>
      </c>
      <c r="E54" s="4">
        <v>1</v>
      </c>
      <c r="F54" s="4">
        <f>Bilanca!G61</f>
        <v>53</v>
      </c>
      <c r="G54" s="4">
        <f>IF(Bilanca!H61=0,"",Bilanca!H61)</f>
      </c>
      <c r="H54" s="30">
        <f t="shared" si="2"/>
        <v>9358250.280000001</v>
      </c>
      <c r="I54" s="31">
        <f t="shared" si="3"/>
        <v>0</v>
      </c>
      <c r="J54" s="31">
        <f>Bilanca!I61</f>
        <v>4527188</v>
      </c>
      <c r="K54" s="31">
        <f>Bilanca!J61</f>
        <v>6564944</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1662462929.24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10770816.36</v>
      </c>
      <c r="I62" s="31">
        <f t="shared" si="3"/>
        <v>0</v>
      </c>
      <c r="J62" s="31">
        <f>Bilanca!I69</f>
        <v>4527188</v>
      </c>
      <c r="K62" s="31">
        <f>Bilanca!J69</f>
        <v>6564944</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2897492.2199999997</v>
      </c>
      <c r="I64" s="31">
        <f t="shared" si="3"/>
        <v>0</v>
      </c>
      <c r="J64" s="31">
        <f>Bilanca!I71</f>
        <v>1912910</v>
      </c>
      <c r="K64" s="31">
        <f>Bilanca!J71</f>
        <v>1343142</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49918079.25</v>
      </c>
      <c r="I66" s="31">
        <f t="shared" si="3"/>
        <v>0</v>
      </c>
      <c r="J66" s="31">
        <f>Bilanca!I73</f>
        <v>25286847</v>
      </c>
      <c r="K66" s="31">
        <f>Bilanca!J73</f>
        <v>25755099</v>
      </c>
    </row>
    <row r="67" spans="1:11" ht="12.75">
      <c r="A67" s="4" t="s">
        <v>689</v>
      </c>
      <c r="B67" s="29" t="str">
        <f>RefStr!L35</f>
        <v>021/355-139</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12228840</v>
      </c>
      <c r="I68" s="31">
        <f t="shared" si="3"/>
        <v>0</v>
      </c>
      <c r="J68" s="31">
        <f>Bilanca!I76</f>
        <v>5055454</v>
      </c>
      <c r="K68" s="31">
        <f>Bilanca!J76</f>
        <v>6598273</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42000</v>
      </c>
      <c r="I71" s="31">
        <f t="shared" si="3"/>
        <v>0</v>
      </c>
      <c r="J71" s="31">
        <f>Bilanca!I79</f>
        <v>20000</v>
      </c>
      <c r="K71" s="31">
        <f>Bilanca!J79</f>
        <v>20000</v>
      </c>
    </row>
    <row r="72" spans="4:11" ht="12.75">
      <c r="D72" s="4" t="s">
        <v>1521</v>
      </c>
      <c r="E72" s="4">
        <v>1</v>
      </c>
      <c r="F72" s="4">
        <f>Bilanca!G80</f>
        <v>71</v>
      </c>
      <c r="G72" s="4">
        <f>IF(Bilanca!H80=0,"",Bilanca!H80)</f>
      </c>
      <c r="H72" s="30">
        <f t="shared" si="2"/>
        <v>42600</v>
      </c>
      <c r="I72" s="31">
        <f t="shared" si="3"/>
        <v>0</v>
      </c>
      <c r="J72" s="31">
        <f>Bilanca!I80</f>
        <v>20000</v>
      </c>
      <c r="K72" s="31">
        <f>Bilanca!J80</f>
        <v>20000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10439888.31</v>
      </c>
      <c r="I82" s="31">
        <f t="shared" si="3"/>
        <v>0</v>
      </c>
      <c r="J82" s="31">
        <f>Bilanca!I90</f>
        <v>2857843</v>
      </c>
      <c r="K82" s="31">
        <f>Bilanca!J90</f>
        <v>5015454</v>
      </c>
    </row>
    <row r="83" spans="4:11" ht="12.75">
      <c r="D83" s="4" t="s">
        <v>1521</v>
      </c>
      <c r="E83" s="4">
        <v>1</v>
      </c>
      <c r="F83" s="4">
        <f>Bilanca!G91</f>
        <v>82</v>
      </c>
      <c r="G83" s="4">
        <f>IF(Bilanca!H91=0,"",Bilanca!H91)</f>
      </c>
      <c r="H83" s="30">
        <f t="shared" si="2"/>
        <v>10568775.82</v>
      </c>
      <c r="I83" s="31">
        <f t="shared" si="3"/>
        <v>0</v>
      </c>
      <c r="J83" s="31">
        <f>Bilanca!I91</f>
        <v>2857843</v>
      </c>
      <c r="K83" s="31">
        <f>Bilanca!J91</f>
        <v>5015454</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4404329.16</v>
      </c>
      <c r="I85" s="31">
        <f>ABS(ROUND(J85,0)-J85)+ABS(ROUND(K85,0)-K85)</f>
        <v>0</v>
      </c>
      <c r="J85" s="31">
        <f>Bilanca!I93</f>
        <v>2157611</v>
      </c>
      <c r="K85" s="31">
        <f>Bilanca!J93</f>
        <v>1542819</v>
      </c>
    </row>
    <row r="86" spans="4:11" ht="12.75">
      <c r="D86" s="4" t="s">
        <v>1521</v>
      </c>
      <c r="E86" s="4">
        <v>1</v>
      </c>
      <c r="F86" s="4">
        <f>Bilanca!G94</f>
        <v>85</v>
      </c>
      <c r="G86" s="4">
        <f>IF(Bilanca!H94=0,"",Bilanca!H94)</f>
      </c>
      <c r="H86" s="30">
        <f>J86/100*F86+2*K86/100*F86</f>
        <v>4456761.65</v>
      </c>
      <c r="I86" s="31">
        <f>ABS(ROUND(J86,0)-J86)+ABS(ROUND(K86,0)-K86)</f>
        <v>0</v>
      </c>
      <c r="J86" s="31">
        <f>Bilanca!I94</f>
        <v>2157611</v>
      </c>
      <c r="K86" s="31">
        <f>Bilanca!J94</f>
        <v>1542819</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483489.6</v>
      </c>
      <c r="I89" s="31">
        <f t="shared" si="5"/>
        <v>0</v>
      </c>
      <c r="J89" s="31">
        <f>Bilanca!I97</f>
        <v>0</v>
      </c>
      <c r="K89" s="31">
        <f>Bilanca!J97</f>
        <v>274710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499972.2</v>
      </c>
      <c r="I92" s="31">
        <f t="shared" si="5"/>
        <v>0</v>
      </c>
      <c r="J92" s="31">
        <f>Bilanca!I100</f>
        <v>0</v>
      </c>
      <c r="K92" s="31">
        <f>Bilanca!J100</f>
        <v>274710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2794948.4499999997</v>
      </c>
      <c r="I96" s="31">
        <f t="shared" si="5"/>
        <v>0</v>
      </c>
      <c r="J96" s="31">
        <f>Bilanca!I104</f>
        <v>1056789</v>
      </c>
      <c r="K96" s="31">
        <f>Bilanca!J104</f>
        <v>942631</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2942051</v>
      </c>
      <c r="I101" s="31">
        <f t="shared" si="5"/>
        <v>0</v>
      </c>
      <c r="J101" s="31">
        <f>Bilanca!I109</f>
        <v>1056789</v>
      </c>
      <c r="K101" s="31">
        <f>Bilanca!J109</f>
        <v>942631</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2168923.17</v>
      </c>
      <c r="I108" s="31">
        <f t="shared" si="5"/>
        <v>0</v>
      </c>
      <c r="J108" s="31">
        <f>Bilanca!I116</f>
        <v>956113</v>
      </c>
      <c r="K108" s="31">
        <f>Bilanca!J116</f>
        <v>535459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854139.5</v>
      </c>
      <c r="I116" s="31">
        <f t="shared" si="5"/>
        <v>0</v>
      </c>
      <c r="J116" s="31">
        <f>Bilanca!I124</f>
        <v>291726</v>
      </c>
      <c r="K116" s="31">
        <f>Bilanca!J124</f>
        <v>225502</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666096.21</v>
      </c>
      <c r="I118" s="31">
        <f t="shared" si="5"/>
        <v>0</v>
      </c>
      <c r="J118" s="31">
        <f>Bilanca!I126</f>
        <v>189589</v>
      </c>
      <c r="K118" s="31">
        <f>Bilanca!J126</f>
        <v>189862</v>
      </c>
    </row>
    <row r="119" spans="4:11" ht="12.75">
      <c r="D119" s="4" t="s">
        <v>1521</v>
      </c>
      <c r="E119" s="4">
        <v>1</v>
      </c>
      <c r="F119" s="4">
        <f>Bilanca!G127</f>
        <v>118</v>
      </c>
      <c r="G119" s="4">
        <f>IF(Bilanca!H127=0,"",Bilanca!H127)</f>
      </c>
      <c r="H119" s="30">
        <f t="shared" si="4"/>
        <v>840075.04</v>
      </c>
      <c r="I119" s="31">
        <f t="shared" si="5"/>
        <v>0</v>
      </c>
      <c r="J119" s="31">
        <f>Bilanca!I127</f>
        <v>471738</v>
      </c>
      <c r="K119" s="31">
        <f>Bilanca!J127</f>
        <v>120095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3702.6000000000004</v>
      </c>
      <c r="I122" s="31">
        <f t="shared" si="5"/>
        <v>0</v>
      </c>
      <c r="J122" s="31">
        <f>Bilanca!I130</f>
        <v>3060</v>
      </c>
      <c r="K122" s="31">
        <f>Bilanca!J130</f>
        <v>0</v>
      </c>
    </row>
    <row r="123" spans="4:11" ht="12.75">
      <c r="D123" s="4" t="s">
        <v>1521</v>
      </c>
      <c r="E123" s="4">
        <v>1</v>
      </c>
      <c r="F123" s="4">
        <f>Bilanca!G131</f>
        <v>122</v>
      </c>
      <c r="G123" s="4">
        <f>IF(Bilanca!H131=0,"",Bilanca!H131)</f>
      </c>
      <c r="H123" s="30">
        <f t="shared" si="4"/>
        <v>64692382.46000001</v>
      </c>
      <c r="I123" s="31">
        <f t="shared" si="5"/>
        <v>0</v>
      </c>
      <c r="J123" s="31">
        <f>Bilanca!I131</f>
        <v>18218491</v>
      </c>
      <c r="K123" s="31">
        <f>Bilanca!J131</f>
        <v>17404026</v>
      </c>
    </row>
    <row r="124" spans="4:11" ht="12.75">
      <c r="D124" s="4" t="s">
        <v>1521</v>
      </c>
      <c r="E124" s="4">
        <v>1</v>
      </c>
      <c r="F124" s="4">
        <f>Bilanca!G132</f>
        <v>123</v>
      </c>
      <c r="G124" s="4">
        <f>IF(Bilanca!H132=0,"",Bilanca!H132)</f>
      </c>
      <c r="H124" s="30">
        <f t="shared" si="4"/>
        <v>94460365.35</v>
      </c>
      <c r="I124" s="31">
        <f t="shared" si="5"/>
        <v>0</v>
      </c>
      <c r="J124" s="31">
        <f>Bilanca!I132</f>
        <v>25286847</v>
      </c>
      <c r="K124" s="31">
        <f>Bilanca!J132</f>
        <v>25755099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39264335</v>
      </c>
      <c r="I126" s="4">
        <f t="shared" si="5"/>
        <v>0</v>
      </c>
      <c r="J126" s="31">
        <f>RDG!I8</f>
        <v>10514758</v>
      </c>
      <c r="K126" s="31">
        <f>RDG!J8</f>
        <v>10448355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36439492.78</v>
      </c>
      <c r="I128" s="4">
        <f aca="true" t="shared" si="7" ref="I128:I190">ABS(ROUND(J128,0)-J128)+ABS(ROUND(K128,0)-K128)</f>
        <v>0</v>
      </c>
      <c r="J128" s="31">
        <f>RDG!I10</f>
        <v>9583982</v>
      </c>
      <c r="K128" s="31">
        <f>RDG!J10</f>
        <v>9554266</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3534640.2</v>
      </c>
      <c r="I131" s="4">
        <f t="shared" si="7"/>
        <v>0</v>
      </c>
      <c r="J131" s="31">
        <f>RDG!I13</f>
        <v>930776</v>
      </c>
      <c r="K131" s="31">
        <f>RDG!J13</f>
        <v>894089</v>
      </c>
    </row>
    <row r="132" spans="4:11" ht="12.75">
      <c r="D132" s="4" t="s">
        <v>541</v>
      </c>
      <c r="E132" s="4">
        <v>2</v>
      </c>
      <c r="F132" s="4">
        <f>RDG!G14</f>
        <v>131</v>
      </c>
      <c r="G132" s="4">
        <f>IF(RDG!H14=0,"",RDG!H14)</f>
      </c>
      <c r="H132" s="30">
        <f t="shared" si="6"/>
        <v>32885161.87</v>
      </c>
      <c r="I132" s="4">
        <f t="shared" si="7"/>
        <v>0</v>
      </c>
      <c r="J132" s="31">
        <f>RDG!I14</f>
        <v>7867711</v>
      </c>
      <c r="K132" s="31">
        <f>RDG!J14</f>
        <v>8617733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6513470.18</v>
      </c>
      <c r="I134" s="4">
        <f t="shared" si="7"/>
        <v>0</v>
      </c>
      <c r="J134" s="31">
        <f>RDG!I16</f>
        <v>1695722</v>
      </c>
      <c r="K134" s="31">
        <f>RDG!J16</f>
        <v>1600812</v>
      </c>
    </row>
    <row r="135" spans="4:11" ht="12.75">
      <c r="D135" s="4" t="s">
        <v>541</v>
      </c>
      <c r="E135" s="4">
        <v>2</v>
      </c>
      <c r="F135" s="4">
        <f>RDG!G17</f>
        <v>134</v>
      </c>
      <c r="G135" s="4">
        <f>IF(RDG!H17=0,"",RDG!H17)</f>
      </c>
      <c r="H135" s="30">
        <f t="shared" si="6"/>
        <v>2661666.12</v>
      </c>
      <c r="I135" s="4">
        <f t="shared" si="7"/>
        <v>0</v>
      </c>
      <c r="J135" s="31">
        <f>RDG!I17</f>
        <v>664624</v>
      </c>
      <c r="K135" s="31">
        <f>RDG!J17</f>
        <v>660847</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3958998.08</v>
      </c>
      <c r="I137" s="4">
        <f t="shared" si="7"/>
        <v>0</v>
      </c>
      <c r="J137" s="31">
        <f>RDG!I19</f>
        <v>1031098</v>
      </c>
      <c r="K137" s="31">
        <f>RDG!J19</f>
        <v>939965</v>
      </c>
    </row>
    <row r="138" spans="4:11" ht="12.75">
      <c r="D138" s="4" t="s">
        <v>541</v>
      </c>
      <c r="E138" s="4">
        <v>2</v>
      </c>
      <c r="F138" s="4">
        <f>RDG!G20</f>
        <v>137</v>
      </c>
      <c r="G138" s="4">
        <f>IF(RDG!H20=0,"",RDG!H20)</f>
      </c>
      <c r="H138" s="30">
        <f t="shared" si="6"/>
        <v>14129519.66</v>
      </c>
      <c r="I138" s="4">
        <f t="shared" si="7"/>
        <v>0</v>
      </c>
      <c r="J138" s="31">
        <f>RDG!I20</f>
        <v>3474696</v>
      </c>
      <c r="K138" s="31">
        <f>RDG!J20</f>
        <v>3419411</v>
      </c>
    </row>
    <row r="139" spans="4:11" ht="12.75">
      <c r="D139" s="4" t="s">
        <v>541</v>
      </c>
      <c r="E139" s="4">
        <v>2</v>
      </c>
      <c r="F139" s="4">
        <f>RDG!G21</f>
        <v>138</v>
      </c>
      <c r="G139" s="4">
        <f>IF(RDG!H21=0,"",RDG!H21)</f>
      </c>
      <c r="H139" s="30">
        <f t="shared" si="6"/>
        <v>8660682.66</v>
      </c>
      <c r="I139" s="4">
        <f t="shared" si="7"/>
        <v>0</v>
      </c>
      <c r="J139" s="31">
        <f>RDG!I21</f>
        <v>2140675</v>
      </c>
      <c r="K139" s="31">
        <f>RDG!J21</f>
        <v>2067591</v>
      </c>
    </row>
    <row r="140" spans="4:11" ht="12.75">
      <c r="D140" s="4" t="s">
        <v>541</v>
      </c>
      <c r="E140" s="4">
        <v>2</v>
      </c>
      <c r="F140" s="4">
        <f>RDG!G22</f>
        <v>139</v>
      </c>
      <c r="G140" s="4">
        <f>IF(RDG!H22=0,"",RDG!H22)</f>
      </c>
      <c r="H140" s="30">
        <f t="shared" si="6"/>
        <v>3653788.7499999995</v>
      </c>
      <c r="I140" s="4">
        <f t="shared" si="7"/>
        <v>0</v>
      </c>
      <c r="J140" s="31">
        <f>RDG!I22</f>
        <v>862531</v>
      </c>
      <c r="K140" s="31">
        <f>RDG!J22</f>
        <v>883047</v>
      </c>
    </row>
    <row r="141" spans="4:11" ht="12.75">
      <c r="D141" s="4" t="s">
        <v>541</v>
      </c>
      <c r="E141" s="4">
        <v>2</v>
      </c>
      <c r="F141" s="4">
        <f>RDG!G23</f>
        <v>140</v>
      </c>
      <c r="G141" s="4">
        <f>IF(RDG!H23=0,"",RDG!H23)</f>
      </c>
      <c r="H141" s="30">
        <f t="shared" si="6"/>
        <v>1972650.4</v>
      </c>
      <c r="I141" s="4">
        <f t="shared" si="7"/>
        <v>0</v>
      </c>
      <c r="J141" s="31">
        <f>RDG!I23</f>
        <v>471490</v>
      </c>
      <c r="K141" s="31">
        <f>RDG!J23</f>
        <v>468773</v>
      </c>
    </row>
    <row r="142" spans="4:11" ht="12.75">
      <c r="D142" s="4" t="s">
        <v>541</v>
      </c>
      <c r="E142" s="4">
        <v>2</v>
      </c>
      <c r="F142" s="4">
        <f>RDG!G24</f>
        <v>141</v>
      </c>
      <c r="G142" s="4">
        <f>IF(RDG!H24=0,"",RDG!H24)</f>
      </c>
      <c r="H142" s="30">
        <f t="shared" si="6"/>
        <v>4040775.1799999997</v>
      </c>
      <c r="I142" s="4">
        <f t="shared" si="7"/>
        <v>0</v>
      </c>
      <c r="J142" s="31">
        <f>RDG!I24</f>
        <v>926030</v>
      </c>
      <c r="K142" s="31">
        <f>RDG!J24</f>
        <v>969884</v>
      </c>
    </row>
    <row r="143" spans="4:11" ht="12.75">
      <c r="D143" s="4" t="s">
        <v>541</v>
      </c>
      <c r="E143" s="4">
        <v>2</v>
      </c>
      <c r="F143" s="4">
        <f>RDG!G25</f>
        <v>142</v>
      </c>
      <c r="G143" s="4">
        <f>IF(RDG!H25=0,"",RDG!H25)</f>
      </c>
      <c r="H143" s="30">
        <f t="shared" si="6"/>
        <v>7982889.260000001</v>
      </c>
      <c r="I143" s="4">
        <f t="shared" si="7"/>
        <v>0</v>
      </c>
      <c r="J143" s="31">
        <f>RDG!I25</f>
        <v>1760187</v>
      </c>
      <c r="K143" s="31">
        <f>RDG!J25</f>
        <v>1930783</v>
      </c>
    </row>
    <row r="144" spans="4:11" ht="12.75">
      <c r="D144" s="4" t="s">
        <v>541</v>
      </c>
      <c r="E144" s="4">
        <v>2</v>
      </c>
      <c r="F144" s="4">
        <f>RDG!G26</f>
        <v>143</v>
      </c>
      <c r="G144" s="4">
        <f>IF(RDG!H26=0,"",RDG!H26)</f>
      </c>
      <c r="H144" s="30">
        <f t="shared" si="6"/>
        <v>1223139.0599999998</v>
      </c>
      <c r="I144" s="4">
        <f t="shared" si="7"/>
        <v>0</v>
      </c>
      <c r="J144" s="31">
        <f>RDG!I26</f>
        <v>11076</v>
      </c>
      <c r="K144" s="31">
        <f>RDG!J26</f>
        <v>422133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1240245.9</v>
      </c>
      <c r="I146" s="4">
        <f t="shared" si="7"/>
        <v>0</v>
      </c>
      <c r="J146" s="31">
        <f>RDG!I28</f>
        <v>11076</v>
      </c>
      <c r="K146" s="31">
        <f>RDG!J28</f>
        <v>422133</v>
      </c>
    </row>
    <row r="147" spans="4:11" ht="12.75">
      <c r="D147" s="4" t="s">
        <v>541</v>
      </c>
      <c r="E147" s="4">
        <v>2</v>
      </c>
      <c r="F147" s="4">
        <f>RDG!G29</f>
        <v>146</v>
      </c>
      <c r="G147" s="4">
        <f>IF(RDG!H29=0,"",RDG!H29)</f>
      </c>
      <c r="H147" s="30">
        <f t="shared" si="6"/>
        <v>802153.2</v>
      </c>
      <c r="I147" s="4">
        <f t="shared" si="7"/>
        <v>0</v>
      </c>
      <c r="J147" s="31">
        <f>RDG!I29</f>
        <v>0</v>
      </c>
      <c r="K147" s="31">
        <f>RDG!J29</f>
        <v>274710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818635.7999999999</v>
      </c>
      <c r="I150" s="4">
        <f t="shared" si="7"/>
        <v>0</v>
      </c>
      <c r="J150" s="31">
        <f>RDG!I32</f>
        <v>0</v>
      </c>
      <c r="K150" s="31">
        <f>RDG!J32</f>
        <v>274710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228625.32</v>
      </c>
      <c r="I155" s="4">
        <f t="shared" si="7"/>
        <v>0</v>
      </c>
      <c r="J155" s="31">
        <f>RDG!I37</f>
        <v>49202</v>
      </c>
      <c r="K155" s="31">
        <f>RDG!J37</f>
        <v>49628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239017.38</v>
      </c>
      <c r="I162" s="4">
        <f t="shared" si="7"/>
        <v>0</v>
      </c>
      <c r="J162" s="31">
        <f>RDG!I44</f>
        <v>49202</v>
      </c>
      <c r="K162" s="31">
        <f>RDG!J44</f>
        <v>49628</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0</v>
      </c>
      <c r="I166" s="4">
        <f t="shared" si="7"/>
        <v>0</v>
      </c>
      <c r="J166" s="31">
        <f>RDG!I48</f>
        <v>0</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55861069.019999996</v>
      </c>
      <c r="I178" s="4">
        <f t="shared" si="7"/>
        <v>0</v>
      </c>
      <c r="J178" s="31">
        <f>RDG!I60</f>
        <v>10563960</v>
      </c>
      <c r="K178" s="31">
        <f>RDG!J60</f>
        <v>10497983</v>
      </c>
    </row>
    <row r="179" spans="4:11" ht="12.75">
      <c r="D179" s="4" t="s">
        <v>541</v>
      </c>
      <c r="E179" s="4">
        <v>2</v>
      </c>
      <c r="F179" s="4">
        <f>RDG!G61</f>
        <v>178</v>
      </c>
      <c r="G179" s="4">
        <f>IF(RDG!H61=0,"",RDG!H61)</f>
      </c>
      <c r="H179" s="30">
        <f t="shared" si="6"/>
        <v>44683655.06</v>
      </c>
      <c r="I179" s="4">
        <f t="shared" si="7"/>
        <v>0</v>
      </c>
      <c r="J179" s="31">
        <f>RDG!I61</f>
        <v>7867711</v>
      </c>
      <c r="K179" s="31">
        <f>RDG!J61</f>
        <v>8617733</v>
      </c>
    </row>
    <row r="180" spans="4:11" ht="12.75">
      <c r="D180" s="4" t="s">
        <v>541</v>
      </c>
      <c r="E180" s="4">
        <v>2</v>
      </c>
      <c r="F180" s="4">
        <f>RDG!G62</f>
        <v>179</v>
      </c>
      <c r="G180" s="4">
        <f>IF(RDG!H62=0,"",RDG!H62)</f>
      </c>
      <c r="H180" s="30">
        <f t="shared" si="6"/>
        <v>11557580.71</v>
      </c>
      <c r="I180" s="4">
        <f t="shared" si="7"/>
        <v>0</v>
      </c>
      <c r="J180" s="31">
        <f>RDG!I62</f>
        <v>2696249</v>
      </c>
      <c r="K180" s="31">
        <f>RDG!J62</f>
        <v>1880250</v>
      </c>
    </row>
    <row r="181" spans="4:11" ht="12.75">
      <c r="D181" s="4" t="s">
        <v>541</v>
      </c>
      <c r="E181" s="4">
        <v>2</v>
      </c>
      <c r="F181" s="4">
        <f>RDG!G63</f>
        <v>180</v>
      </c>
      <c r="G181" s="4">
        <f>IF(RDG!H63=0,"",RDG!H63)</f>
      </c>
      <c r="H181" s="30">
        <f t="shared" si="6"/>
        <v>11622148.2</v>
      </c>
      <c r="I181" s="4">
        <f t="shared" si="7"/>
        <v>0</v>
      </c>
      <c r="J181" s="31">
        <f>RDG!I63</f>
        <v>2696249</v>
      </c>
      <c r="K181" s="31">
        <f>RDG!J63</f>
        <v>1880250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2208570</v>
      </c>
      <c r="I183" s="4">
        <f t="shared" si="7"/>
        <v>0</v>
      </c>
      <c r="J183" s="31">
        <f>RDG!I65</f>
        <v>538638</v>
      </c>
      <c r="K183" s="31">
        <f>RDG!J65</f>
        <v>337431</v>
      </c>
    </row>
    <row r="184" spans="4:11" ht="12.75">
      <c r="D184" s="4" t="s">
        <v>541</v>
      </c>
      <c r="E184" s="4">
        <v>2</v>
      </c>
      <c r="F184" s="4">
        <f>RDG!G66</f>
        <v>183</v>
      </c>
      <c r="G184" s="4">
        <f>IF(RDG!H66=0,"",RDG!H66)</f>
      </c>
      <c r="H184" s="30">
        <f t="shared" si="6"/>
        <v>9595145.67</v>
      </c>
      <c r="I184" s="4">
        <f t="shared" si="7"/>
        <v>0</v>
      </c>
      <c r="J184" s="31">
        <f>RDG!I66</f>
        <v>2157611</v>
      </c>
      <c r="K184" s="31">
        <f>RDG!J66</f>
        <v>1542819</v>
      </c>
    </row>
    <row r="185" spans="4:11" ht="12.75">
      <c r="D185" s="4" t="s">
        <v>541</v>
      </c>
      <c r="E185" s="4">
        <v>2</v>
      </c>
      <c r="F185" s="4">
        <f>RDG!G67</f>
        <v>184</v>
      </c>
      <c r="G185" s="4">
        <f>IF(RDG!H67=0,"",RDG!H67)</f>
      </c>
      <c r="H185" s="30">
        <f t="shared" si="6"/>
        <v>9647578.16</v>
      </c>
      <c r="I185" s="4">
        <f t="shared" si="7"/>
        <v>0</v>
      </c>
      <c r="J185" s="31">
        <f>RDG!I67</f>
        <v>2157611</v>
      </c>
      <c r="K185" s="31">
        <f>RDG!J67</f>
        <v>1542819</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66566632.480000004</v>
      </c>
      <c r="I233" s="4">
        <f t="shared" si="11"/>
        <v>0</v>
      </c>
      <c r="J233" s="31">
        <f>Dodatni!I26</f>
        <v>9583982</v>
      </c>
      <c r="K233" s="31">
        <f>Dodatni!J26</f>
        <v>9554266</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69435883.88000001</v>
      </c>
      <c r="I243" s="4">
        <f t="shared" si="11"/>
        <v>0</v>
      </c>
      <c r="J243" s="31">
        <f>Dodatni!I37</f>
        <v>9583982</v>
      </c>
      <c r="K243" s="31">
        <f>Dodatni!J37</f>
        <v>9554266</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503871.48</v>
      </c>
      <c r="I253" s="4">
        <f t="shared" si="11"/>
        <v>0</v>
      </c>
      <c r="J253" s="31">
        <f>Dodatni!I50</f>
        <v>60549</v>
      </c>
      <c r="K253" s="31">
        <f>Dodatni!J50</f>
        <v>69700</v>
      </c>
    </row>
    <row r="254" spans="4:11" ht="12.75">
      <c r="D254" s="4" t="s">
        <v>1522</v>
      </c>
      <c r="E254" s="4">
        <v>3</v>
      </c>
      <c r="F254" s="4">
        <f>Dodatni!H51</f>
        <v>253</v>
      </c>
      <c r="H254" s="30">
        <f t="shared" si="10"/>
        <v>1928882.1199999999</v>
      </c>
      <c r="I254" s="4">
        <f t="shared" si="11"/>
        <v>0</v>
      </c>
      <c r="J254" s="31">
        <f>Dodatni!I51</f>
        <v>183130</v>
      </c>
      <c r="K254" s="31">
        <f>Dodatni!J51</f>
        <v>289637</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406774.92</v>
      </c>
      <c r="I275" s="4">
        <f aca="true" t="shared" si="13" ref="I275:I284">ABS(ROUND(J275,0)-J275)+ABS(ROUND(K275,0)-K275)</f>
        <v>0</v>
      </c>
      <c r="J275" s="31">
        <f>Dodatni!I73</f>
        <v>49202</v>
      </c>
      <c r="K275" s="31">
        <f>Dodatni!J73</f>
        <v>49628</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27"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SPLITSKA OBALA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21000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89801268320</v>
      </c>
      <c r="V4" s="211" t="s">
        <v>2356</v>
      </c>
      <c r="W4" s="232" t="str">
        <f>RefStr!F31</f>
        <v>SPLIT</v>
      </c>
      <c r="X4" s="234" t="s">
        <v>222</v>
      </c>
      <c r="Y4" s="235" t="str">
        <f>RefStr!I68</f>
        <v>NE</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1</v>
      </c>
      <c r="T5" s="211" t="s">
        <v>2352</v>
      </c>
      <c r="U5" s="232" t="str">
        <f>RefStr!H27</f>
        <v>02678535</v>
      </c>
      <c r="V5" s="211" t="s">
        <v>2357</v>
      </c>
      <c r="W5" s="232" t="str">
        <f>RefStr!C33</f>
        <v>Ulica kralja Zvonimira 14</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060264886</v>
      </c>
      <c r="V6" s="211" t="s">
        <v>2568</v>
      </c>
      <c r="W6" s="232" t="str">
        <f>RefStr!L35</f>
        <v>021/355-139</v>
      </c>
      <c r="X6" s="211" t="s">
        <v>2514</v>
      </c>
      <c r="Y6" s="232" t="str">
        <f>RefStr!C68</f>
        <v>Ivana Kapović</v>
      </c>
      <c r="Z6" s="211" t="s">
        <v>1415</v>
      </c>
      <c r="AA6" s="232">
        <f>RefStr!C46</f>
        <v>0</v>
      </c>
    </row>
    <row r="7" spans="1:27" ht="13.5" customHeight="1">
      <c r="A7" s="496"/>
      <c r="B7" s="497"/>
      <c r="C7" s="497"/>
      <c r="D7" s="497"/>
      <c r="E7" s="497"/>
      <c r="F7" s="497"/>
      <c r="G7" s="497"/>
      <c r="H7" s="497"/>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INFO@SPLITSKAOBALA.HR</v>
      </c>
      <c r="X7" s="211" t="s">
        <v>2515</v>
      </c>
      <c r="Y7" s="232" t="str">
        <f>RefStr!C70</f>
        <v>021/355-139</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6820</v>
      </c>
      <c r="X8" s="211" t="s">
        <v>2516</v>
      </c>
      <c r="Y8" s="232" t="str">
        <f>TRIM(UPPER(RefStr!C72))</f>
        <v>IVANA.KAPOVIC@SPLITSKAOBALA.HR</v>
      </c>
      <c r="Z8" s="236" t="s">
        <v>218</v>
      </c>
      <c r="AA8" s="237" t="str">
        <f>RefStr!I56</f>
        <v>NE</v>
      </c>
    </row>
    <row r="9" spans="1:27" ht="13.5" customHeight="1">
      <c r="A9" s="506" t="s">
        <v>566</v>
      </c>
      <c r="B9" s="506"/>
      <c r="C9" s="506" t="s">
        <v>727</v>
      </c>
      <c r="D9" s="506"/>
      <c r="E9" s="506"/>
      <c r="F9" s="506"/>
      <c r="G9" s="506"/>
      <c r="H9" s="506"/>
      <c r="I9" s="506"/>
      <c r="J9" s="506"/>
      <c r="L9" s="195"/>
      <c r="M9" s="195"/>
      <c r="O9" s="230" t="s">
        <v>614</v>
      </c>
      <c r="P9" s="209">
        <f>RefStr!C58</f>
        <v>31</v>
      </c>
      <c r="Q9" s="231">
        <f>RefStr!F58</f>
        <v>28</v>
      </c>
      <c r="R9" s="211" t="s">
        <v>1860</v>
      </c>
      <c r="S9" s="232">
        <f>IF(RefStr!F4&lt;&gt;"",RefStr!F4,0)</f>
        <v>43100</v>
      </c>
      <c r="T9" s="211" t="s">
        <v>1821</v>
      </c>
      <c r="U9" s="232">
        <f>RefStr!C39</f>
        <v>409</v>
      </c>
      <c r="V9" s="211" t="s">
        <v>1414</v>
      </c>
      <c r="W9" s="232" t="str">
        <f>RefStr!D42</f>
        <v>Iznajmljivanje i upravljanje vlastitim...</v>
      </c>
      <c r="X9" s="238" t="s">
        <v>221</v>
      </c>
      <c r="Y9" s="239" t="str">
        <f>RefStr!I66</f>
        <v>NE</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31</v>
      </c>
      <c r="Q10" s="233">
        <f>RefStr!F56</f>
        <v>29</v>
      </c>
      <c r="R10" s="213" t="s">
        <v>1863</v>
      </c>
      <c r="S10" s="233">
        <f>RefStr!C23</f>
        <v>1</v>
      </c>
      <c r="T10" s="213" t="s">
        <v>2573</v>
      </c>
      <c r="U10" s="233" t="str">
        <f>RefStr!D39</f>
        <v>Split</v>
      </c>
      <c r="V10" s="240"/>
      <c r="W10" s="241"/>
      <c r="X10" s="242" t="s">
        <v>1974</v>
      </c>
      <c r="Y10" s="243">
        <f>RefStr!F12</f>
        <v>2017</v>
      </c>
      <c r="Z10" s="213" t="s">
        <v>209</v>
      </c>
      <c r="AA10" s="233" t="str">
        <f>RefStr!A75</f>
        <v>Dražen Delić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C:\Users\Ivana\Desktop\Završni 2017\[GFI-POD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5" activePane="bottomLeft" state="frozen"/>
      <selection pane="topLeft" activeCell="A1" sqref="A1"/>
      <selection pane="bottomLeft" activeCell="F56" sqref="F5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267853.5</v>
      </c>
    </row>
    <row r="13" spans="4:17" ht="9.75" customHeight="1">
      <c r="D13" s="156"/>
      <c r="E13" s="162"/>
      <c r="H13" s="27"/>
      <c r="I13" s="163"/>
      <c r="J13" s="163"/>
      <c r="K13" s="156"/>
      <c r="L13" s="156"/>
      <c r="M13" s="156"/>
      <c r="N13" s="156"/>
      <c r="P13" s="54" t="s">
        <v>2353</v>
      </c>
      <c r="Q13" s="55">
        <f>INT(VALUE(M27))/50</f>
        <v>1205297.72</v>
      </c>
    </row>
    <row r="14" spans="1:17" ht="15">
      <c r="A14" s="321" t="s">
        <v>2714</v>
      </c>
      <c r="B14" s="321"/>
      <c r="C14" s="321"/>
      <c r="D14" s="164"/>
      <c r="E14" s="165"/>
      <c r="F14" s="319"/>
      <c r="G14" s="320"/>
      <c r="H14" s="320"/>
      <c r="I14" s="156"/>
      <c r="J14" s="327" t="s">
        <v>2100</v>
      </c>
      <c r="K14" s="328"/>
      <c r="L14" s="328"/>
      <c r="M14" s="328"/>
      <c r="N14" s="328"/>
      <c r="P14" s="54" t="s">
        <v>2718</v>
      </c>
      <c r="Q14" s="55">
        <f>INT(VALUE(C27))/100</f>
        <v>898012683.2</v>
      </c>
    </row>
    <row r="15" spans="1:17" ht="19.5" customHeight="1">
      <c r="A15" s="324">
        <f>Skriveni!B59</f>
        <v>1662462929.24</v>
      </c>
      <c r="B15" s="325"/>
      <c r="C15" s="326"/>
      <c r="D15" s="60"/>
      <c r="E15" s="60"/>
      <c r="F15" s="60"/>
      <c r="G15" s="60"/>
      <c r="H15" s="60"/>
      <c r="I15" s="60"/>
      <c r="J15" s="60"/>
      <c r="K15" s="60"/>
      <c r="L15" s="60"/>
      <c r="M15" s="60"/>
      <c r="N15" s="60"/>
      <c r="P15" s="54" t="s">
        <v>1817</v>
      </c>
      <c r="Q15" s="55">
        <f>LEN(Skriveni!B9)</f>
        <v>21</v>
      </c>
    </row>
    <row r="16" spans="4:17" ht="12.75" customHeight="1">
      <c r="D16" s="60"/>
      <c r="E16" s="60"/>
      <c r="F16" s="60"/>
      <c r="G16" s="60"/>
      <c r="H16" s="60"/>
      <c r="I16" s="60"/>
      <c r="P16" s="54" t="s">
        <v>1818</v>
      </c>
      <c r="Q16" s="55">
        <f>INT(VALUE(C31))/100</f>
        <v>210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1</v>
      </c>
      <c r="D19" s="371" t="str">
        <f>IF(C19="","Svrha predaje nije upisana",IF(ISNA(LOOKUP(C19,A118:A120,A118:A120)),"Nepostojeća ili neprepoznatljiva svrha predaje",IF(LOOKUP(C19,A118:A120,A118:A120)&lt;&gt;C19,"Nepostojeća ili neprepoznatljiva svrha predaje",LOOKUP(C19,A118:A120,B118:B120))))</f>
        <v>Predaja samo u statističke svrhe</v>
      </c>
      <c r="E19" s="372"/>
      <c r="F19" s="372"/>
      <c r="G19" s="372"/>
      <c r="H19" s="372"/>
      <c r="I19" s="347" t="s">
        <v>1729</v>
      </c>
      <c r="J19" s="373"/>
      <c r="K19" s="373"/>
      <c r="L19" s="373"/>
      <c r="M19" s="373"/>
      <c r="N19" s="36" t="s">
        <v>2139</v>
      </c>
      <c r="P19" s="54" t="s">
        <v>1820</v>
      </c>
      <c r="Q19" s="55">
        <f>LEN(Skriveni!B12)</f>
        <v>25</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409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6820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21000</v>
      </c>
      <c r="D31" s="335" t="s">
        <v>693</v>
      </c>
      <c r="E31" s="336"/>
      <c r="F31" s="316" t="s">
        <v>2957</v>
      </c>
      <c r="G31" s="337"/>
      <c r="H31" s="337"/>
      <c r="I31" s="337"/>
      <c r="J31" s="337"/>
      <c r="K31" s="337"/>
      <c r="L31" s="338"/>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2962</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409</v>
      </c>
      <c r="D39" s="348" t="str">
        <f>IF(C39="","Šifra grada/općine nije upisana",IF(ISNA(LOOKUP(C39,A177:A732,A177:A732)),"Šifra grada/općine ne postoji",IF(LOOKUP(C39,A177:A732,A177:A732)&lt;&gt;C39,"Šifra grada/općine ne postoji",LOOKUP(C39,A177:A732,B177:B732))))</f>
        <v>Split</v>
      </c>
      <c r="E39" s="349"/>
      <c r="F39" s="349"/>
      <c r="G39" s="349"/>
      <c r="H39" s="272" t="s">
        <v>2222</v>
      </c>
      <c r="I39" s="344"/>
      <c r="J39" s="58">
        <f>IF(C39&gt;0,LOOKUP(C39,A177:A732,C177:C732),"")</f>
        <v>17</v>
      </c>
      <c r="K39" s="351" t="str">
        <f>IF(J39="","Treba prvo upisati šifru grada/općine",LOOKUP(J39,A153:A173,B153:B173))</f>
        <v>SPLITSKO-DALMATINSKA</v>
      </c>
      <c r="L39" s="351"/>
      <c r="M39" s="351"/>
      <c r="N39" s="351"/>
      <c r="P39" s="54" t="s">
        <v>1826</v>
      </c>
      <c r="Q39" s="55">
        <f>C56+2*F56+3*C58+4*F58</f>
        <v>294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978</v>
      </c>
      <c r="D42" s="353" t="str">
        <f>IF(C42="","Šifra NKD-a nije upisana",IF(ISNA(LOOKUP(C42,A736:A1351,A736:A1351)),"Šifra NKD-a ne postoji",IF(LOOKUP(C42,A736:A1351,A736:A1351)&lt;&gt;C42,"Šifra NKD-a ne postoji",LOOKUP(C42,A736:A1351,B736:B1351))))</f>
        <v>Iznajmljivanje i upravljanje vlastitim...</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31</v>
      </c>
      <c r="D56" s="270" t="s">
        <v>2898</v>
      </c>
      <c r="E56" s="380"/>
      <c r="F56" s="44">
        <v>29</v>
      </c>
      <c r="G56" s="270" t="s">
        <v>2899</v>
      </c>
      <c r="H56" s="271"/>
      <c r="I56" s="226" t="s">
        <v>2619</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31</v>
      </c>
      <c r="D58" s="278" t="s">
        <v>2898</v>
      </c>
      <c r="E58" s="278"/>
      <c r="F58" s="44">
        <v>28</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2619</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2619</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89801268320; SPLITSKA OBALA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18247189</v>
      </c>
      <c r="J10" s="70">
        <f>J11+J18+J28+J39+J44</f>
        <v>17321726</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18247189</v>
      </c>
      <c r="J18" s="70">
        <f>SUM(J19:J27)</f>
        <v>17321726</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17714880</v>
      </c>
      <c r="J20" s="71">
        <v>16880035</v>
      </c>
    </row>
    <row r="21" spans="1:10" ht="13.5" customHeight="1">
      <c r="A21" s="383" t="s">
        <v>2177</v>
      </c>
      <c r="B21" s="383"/>
      <c r="C21" s="383"/>
      <c r="D21" s="383"/>
      <c r="E21" s="383"/>
      <c r="F21" s="383"/>
      <c r="G21" s="19">
        <v>13</v>
      </c>
      <c r="H21" s="20"/>
      <c r="I21" s="71">
        <v>382413</v>
      </c>
      <c r="J21" s="71">
        <v>330695</v>
      </c>
    </row>
    <row r="22" spans="1:10" ht="13.5" customHeight="1">
      <c r="A22" s="383" t="s">
        <v>2290</v>
      </c>
      <c r="B22" s="383"/>
      <c r="C22" s="383"/>
      <c r="D22" s="383"/>
      <c r="E22" s="383"/>
      <c r="F22" s="383"/>
      <c r="G22" s="19">
        <v>14</v>
      </c>
      <c r="H22" s="20"/>
      <c r="I22" s="71">
        <v>102500</v>
      </c>
      <c r="J22" s="71">
        <v>72500</v>
      </c>
    </row>
    <row r="23" spans="1:10" ht="13.5" customHeight="1">
      <c r="A23" s="383" t="s">
        <v>2291</v>
      </c>
      <c r="B23" s="383"/>
      <c r="C23" s="383"/>
      <c r="D23" s="383"/>
      <c r="E23" s="383"/>
      <c r="F23" s="383"/>
      <c r="G23" s="19">
        <v>15</v>
      </c>
      <c r="H23" s="20"/>
      <c r="I23" s="71">
        <v>47396</v>
      </c>
      <c r="J23" s="71">
        <v>38496</v>
      </c>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7039658</v>
      </c>
      <c r="J45" s="70">
        <f>J46+J54+J61+J71</f>
        <v>8433373</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599560</v>
      </c>
      <c r="J54" s="70">
        <f>SUM(J55:J60)</f>
        <v>525287</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583236</v>
      </c>
      <c r="J57" s="71">
        <v>520956</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8514</v>
      </c>
      <c r="J59" s="71">
        <v>1610</v>
      </c>
    </row>
    <row r="60" spans="1:10" ht="13.5" customHeight="1">
      <c r="A60" s="383" t="s">
        <v>2638</v>
      </c>
      <c r="B60" s="383"/>
      <c r="C60" s="383"/>
      <c r="D60" s="383"/>
      <c r="E60" s="383"/>
      <c r="F60" s="383"/>
      <c r="G60" s="19">
        <v>52</v>
      </c>
      <c r="H60" s="20"/>
      <c r="I60" s="71">
        <v>7810</v>
      </c>
      <c r="J60" s="71">
        <v>2721</v>
      </c>
    </row>
    <row r="61" spans="1:10" ht="13.5" customHeight="1">
      <c r="A61" s="384" t="s">
        <v>2649</v>
      </c>
      <c r="B61" s="384"/>
      <c r="C61" s="384"/>
      <c r="D61" s="384"/>
      <c r="E61" s="384"/>
      <c r="F61" s="384"/>
      <c r="G61" s="19">
        <v>53</v>
      </c>
      <c r="H61" s="20"/>
      <c r="I61" s="70">
        <f>SUM(I62:I70)</f>
        <v>4527188</v>
      </c>
      <c r="J61" s="70">
        <f>SUM(J62:J70)</f>
        <v>6564944</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4527188</v>
      </c>
      <c r="J69" s="71">
        <v>6564944</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1912910</v>
      </c>
      <c r="J71" s="71">
        <v>1343142</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25286847</v>
      </c>
      <c r="J73" s="70">
        <f>J9+J10+J45+J72</f>
        <v>25755099</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5055454</v>
      </c>
      <c r="J76" s="70">
        <f>J77+J78+J79+J85+J86+J90+J93+J96</f>
        <v>6598273</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20000</v>
      </c>
      <c r="J79" s="70">
        <f>J80+J81-J82+J83+J84</f>
        <v>20000</v>
      </c>
      <c r="L79" s="2" t="s">
        <v>2591</v>
      </c>
    </row>
    <row r="80" spans="1:10" ht="13.5" customHeight="1">
      <c r="A80" s="383" t="s">
        <v>2641</v>
      </c>
      <c r="B80" s="383"/>
      <c r="C80" s="383"/>
      <c r="D80" s="383"/>
      <c r="E80" s="383"/>
      <c r="F80" s="383"/>
      <c r="G80" s="19">
        <v>71</v>
      </c>
      <c r="H80" s="20"/>
      <c r="I80" s="71">
        <v>20000</v>
      </c>
      <c r="J80" s="71">
        <v>20000</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2857843</v>
      </c>
      <c r="J90" s="70">
        <f>J91-J92</f>
        <v>5015454</v>
      </c>
      <c r="L90" s="2" t="s">
        <v>2591</v>
      </c>
    </row>
    <row r="91" spans="1:10" ht="13.5" customHeight="1">
      <c r="A91" s="383" t="s">
        <v>1139</v>
      </c>
      <c r="B91" s="383"/>
      <c r="C91" s="383"/>
      <c r="D91" s="383"/>
      <c r="E91" s="383"/>
      <c r="F91" s="383"/>
      <c r="G91" s="19">
        <v>82</v>
      </c>
      <c r="H91" s="20"/>
      <c r="I91" s="71">
        <v>2857843</v>
      </c>
      <c r="J91" s="71">
        <v>5015454</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2157611</v>
      </c>
      <c r="J93" s="70">
        <f>J94-J95</f>
        <v>1542819</v>
      </c>
      <c r="L93" s="2" t="s">
        <v>2591</v>
      </c>
    </row>
    <row r="94" spans="1:10" ht="13.5" customHeight="1">
      <c r="A94" s="383" t="s">
        <v>2640</v>
      </c>
      <c r="B94" s="383"/>
      <c r="C94" s="383"/>
      <c r="D94" s="383"/>
      <c r="E94" s="383"/>
      <c r="F94" s="383"/>
      <c r="G94" s="19">
        <v>85</v>
      </c>
      <c r="H94" s="20"/>
      <c r="I94" s="71">
        <v>2157611</v>
      </c>
      <c r="J94" s="71">
        <v>1542819</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274710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v>274710</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1056789</v>
      </c>
      <c r="J104" s="70">
        <f>SUM(J105:J115)</f>
        <v>942631</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v>1056789</v>
      </c>
      <c r="J109" s="71">
        <v>942631</v>
      </c>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956113</v>
      </c>
      <c r="J116" s="70">
        <f>SUM(J117:J130)</f>
        <v>535459</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291726</v>
      </c>
      <c r="J124" s="71">
        <v>225502</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189589</v>
      </c>
      <c r="J126" s="71">
        <v>189862</v>
      </c>
    </row>
    <row r="127" spans="1:10" ht="13.5" customHeight="1">
      <c r="A127" s="383" t="s">
        <v>364</v>
      </c>
      <c r="B127" s="383"/>
      <c r="C127" s="383"/>
      <c r="D127" s="383"/>
      <c r="E127" s="383"/>
      <c r="F127" s="383"/>
      <c r="G127" s="19">
        <v>118</v>
      </c>
      <c r="H127" s="20"/>
      <c r="I127" s="71">
        <v>471738</v>
      </c>
      <c r="J127" s="71">
        <v>120095</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3060</v>
      </c>
      <c r="J130" s="71"/>
    </row>
    <row r="131" spans="1:10" ht="24.75" customHeight="1">
      <c r="A131" s="381" t="s">
        <v>1560</v>
      </c>
      <c r="B131" s="381"/>
      <c r="C131" s="381"/>
      <c r="D131" s="381"/>
      <c r="E131" s="381"/>
      <c r="F131" s="381"/>
      <c r="G131" s="19">
        <v>122</v>
      </c>
      <c r="H131" s="20"/>
      <c r="I131" s="71">
        <v>18218491</v>
      </c>
      <c r="J131" s="71">
        <v>17404026</v>
      </c>
    </row>
    <row r="132" spans="1:10" ht="13.5" customHeight="1">
      <c r="A132" s="381" t="s">
        <v>2657</v>
      </c>
      <c r="B132" s="381"/>
      <c r="C132" s="381"/>
      <c r="D132" s="381"/>
      <c r="E132" s="381"/>
      <c r="F132" s="381"/>
      <c r="G132" s="19">
        <v>123</v>
      </c>
      <c r="H132" s="20"/>
      <c r="I132" s="70">
        <f>I76+I97+I104+I116+I131</f>
        <v>25286847</v>
      </c>
      <c r="J132" s="70">
        <f>J76+J97+J104+J116+J131</f>
        <v>25755099</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3"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89801268320; SPLITSKA OBALA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10514758</v>
      </c>
      <c r="J8" s="84">
        <f>SUM(J9:J13)</f>
        <v>10448355</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9583982</v>
      </c>
      <c r="J10" s="71">
        <v>9554266</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930776</v>
      </c>
      <c r="J13" s="71">
        <v>894089</v>
      </c>
    </row>
    <row r="14" spans="1:10" s="2" customFormat="1" ht="13.5" customHeight="1">
      <c r="A14" s="381" t="s">
        <v>1837</v>
      </c>
      <c r="B14" s="381"/>
      <c r="C14" s="381"/>
      <c r="D14" s="381"/>
      <c r="E14" s="381"/>
      <c r="F14" s="381"/>
      <c r="G14" s="19">
        <v>131</v>
      </c>
      <c r="H14" s="20"/>
      <c r="I14" s="70">
        <f>I15+I16+I20+I24+I25+I26+I29+I36</f>
        <v>7867711</v>
      </c>
      <c r="J14" s="70">
        <f>J15+J16+J20+J24+J25+J26+J29+J36</f>
        <v>8617733</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1695722</v>
      </c>
      <c r="J16" s="70">
        <f>SUM(J17:J19)</f>
        <v>1600812</v>
      </c>
    </row>
    <row r="17" spans="1:10" s="2" customFormat="1" ht="13.5" customHeight="1">
      <c r="A17" s="409" t="s">
        <v>504</v>
      </c>
      <c r="B17" s="409"/>
      <c r="C17" s="409"/>
      <c r="D17" s="409"/>
      <c r="E17" s="409"/>
      <c r="F17" s="409"/>
      <c r="G17" s="19">
        <v>134</v>
      </c>
      <c r="H17" s="20"/>
      <c r="I17" s="71">
        <v>664624</v>
      </c>
      <c r="J17" s="71">
        <v>660847</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1031098</v>
      </c>
      <c r="J19" s="71">
        <v>939965</v>
      </c>
    </row>
    <row r="20" spans="1:10" s="2" customFormat="1" ht="13.5" customHeight="1">
      <c r="A20" s="383" t="s">
        <v>1839</v>
      </c>
      <c r="B20" s="383"/>
      <c r="C20" s="383"/>
      <c r="D20" s="383"/>
      <c r="E20" s="383"/>
      <c r="F20" s="383"/>
      <c r="G20" s="19">
        <v>137</v>
      </c>
      <c r="H20" s="20"/>
      <c r="I20" s="70">
        <f>SUM(I21:I23)</f>
        <v>3474696</v>
      </c>
      <c r="J20" s="70">
        <f>SUM(J21:J23)</f>
        <v>3419411</v>
      </c>
    </row>
    <row r="21" spans="1:10" s="2" customFormat="1" ht="13.5" customHeight="1">
      <c r="A21" s="409" t="s">
        <v>724</v>
      </c>
      <c r="B21" s="409"/>
      <c r="C21" s="409"/>
      <c r="D21" s="409"/>
      <c r="E21" s="409"/>
      <c r="F21" s="409"/>
      <c r="G21" s="19">
        <v>138</v>
      </c>
      <c r="H21" s="20"/>
      <c r="I21" s="71">
        <v>2140675</v>
      </c>
      <c r="J21" s="71">
        <v>2067591</v>
      </c>
    </row>
    <row r="22" spans="1:10" s="2" customFormat="1" ht="13.5" customHeight="1">
      <c r="A22" s="409" t="s">
        <v>961</v>
      </c>
      <c r="B22" s="409"/>
      <c r="C22" s="409"/>
      <c r="D22" s="409"/>
      <c r="E22" s="409"/>
      <c r="F22" s="409"/>
      <c r="G22" s="19">
        <v>139</v>
      </c>
      <c r="H22" s="20"/>
      <c r="I22" s="71">
        <v>862531</v>
      </c>
      <c r="J22" s="71">
        <v>883047</v>
      </c>
    </row>
    <row r="23" spans="1:10" s="2" customFormat="1" ht="13.5" customHeight="1">
      <c r="A23" s="409" t="s">
        <v>962</v>
      </c>
      <c r="B23" s="409"/>
      <c r="C23" s="409"/>
      <c r="D23" s="409"/>
      <c r="E23" s="409"/>
      <c r="F23" s="409"/>
      <c r="G23" s="19">
        <v>140</v>
      </c>
      <c r="H23" s="20"/>
      <c r="I23" s="71">
        <v>471490</v>
      </c>
      <c r="J23" s="71">
        <v>468773</v>
      </c>
    </row>
    <row r="24" spans="1:10" s="2" customFormat="1" ht="13.5" customHeight="1">
      <c r="A24" s="383" t="s">
        <v>259</v>
      </c>
      <c r="B24" s="383"/>
      <c r="C24" s="383"/>
      <c r="D24" s="383"/>
      <c r="E24" s="383"/>
      <c r="F24" s="383"/>
      <c r="G24" s="19">
        <v>141</v>
      </c>
      <c r="H24" s="20"/>
      <c r="I24" s="71">
        <v>926030</v>
      </c>
      <c r="J24" s="71">
        <v>969884</v>
      </c>
    </row>
    <row r="25" spans="1:10" s="2" customFormat="1" ht="13.5" customHeight="1">
      <c r="A25" s="383" t="s">
        <v>260</v>
      </c>
      <c r="B25" s="383"/>
      <c r="C25" s="383"/>
      <c r="D25" s="383"/>
      <c r="E25" s="383"/>
      <c r="F25" s="383"/>
      <c r="G25" s="19">
        <v>142</v>
      </c>
      <c r="H25" s="20"/>
      <c r="I25" s="71">
        <v>1760187</v>
      </c>
      <c r="J25" s="71">
        <v>1930783</v>
      </c>
    </row>
    <row r="26" spans="1:12" s="2" customFormat="1" ht="13.5" customHeight="1">
      <c r="A26" s="383" t="s">
        <v>1840</v>
      </c>
      <c r="B26" s="383"/>
      <c r="C26" s="383"/>
      <c r="D26" s="383"/>
      <c r="E26" s="383"/>
      <c r="F26" s="383"/>
      <c r="G26" s="19">
        <v>143</v>
      </c>
      <c r="H26" s="20"/>
      <c r="I26" s="70">
        <f>SUM(I27:I28)</f>
        <v>11076</v>
      </c>
      <c r="J26" s="70">
        <f>SUM(J27:J28)</f>
        <v>422133</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11076</v>
      </c>
      <c r="J28" s="71">
        <v>422133</v>
      </c>
      <c r="L28" s="2" t="s">
        <v>2591</v>
      </c>
    </row>
    <row r="29" spans="1:12" s="2" customFormat="1" ht="13.5" customHeight="1">
      <c r="A29" s="383" t="s">
        <v>1841</v>
      </c>
      <c r="B29" s="383"/>
      <c r="C29" s="383"/>
      <c r="D29" s="383"/>
      <c r="E29" s="383"/>
      <c r="F29" s="383"/>
      <c r="G29" s="19">
        <v>146</v>
      </c>
      <c r="H29" s="20"/>
      <c r="I29" s="70">
        <f>SUM(I30:I35)</f>
        <v>0</v>
      </c>
      <c r="J29" s="70">
        <f>SUM(J30:J35)</f>
        <v>274710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v>274710</v>
      </c>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49202</v>
      </c>
      <c r="J37" s="70">
        <f>SUM(J38:J47)</f>
        <v>49628</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49202</v>
      </c>
      <c r="J44" s="71">
        <v>49628</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0</v>
      </c>
      <c r="J48" s="70">
        <f>SUM(J49:J55)</f>
        <v>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10563960</v>
      </c>
      <c r="J60" s="70">
        <f>J8+J37+J56+J57</f>
        <v>10497983</v>
      </c>
    </row>
    <row r="61" spans="1:10" s="2" customFormat="1" ht="13.5" customHeight="1">
      <c r="A61" s="381" t="s">
        <v>1845</v>
      </c>
      <c r="B61" s="381"/>
      <c r="C61" s="381"/>
      <c r="D61" s="381"/>
      <c r="E61" s="381"/>
      <c r="F61" s="381"/>
      <c r="G61" s="19">
        <v>178</v>
      </c>
      <c r="H61" s="20"/>
      <c r="I61" s="70">
        <f>I14+I48+I58+I59</f>
        <v>7867711</v>
      </c>
      <c r="J61" s="70">
        <f>J14+J48+J58+J59</f>
        <v>8617733</v>
      </c>
    </row>
    <row r="62" spans="1:12" s="2" customFormat="1" ht="13.5" customHeight="1">
      <c r="A62" s="381" t="s">
        <v>2581</v>
      </c>
      <c r="B62" s="381"/>
      <c r="C62" s="381"/>
      <c r="D62" s="381"/>
      <c r="E62" s="381"/>
      <c r="F62" s="381"/>
      <c r="G62" s="19">
        <v>179</v>
      </c>
      <c r="H62" s="20"/>
      <c r="I62" s="70">
        <f>I60-I61</f>
        <v>2696249</v>
      </c>
      <c r="J62" s="70">
        <f>J60-J61</f>
        <v>1880250</v>
      </c>
      <c r="L62" s="2" t="s">
        <v>2591</v>
      </c>
    </row>
    <row r="63" spans="1:10" s="2" customFormat="1" ht="13.5" customHeight="1">
      <c r="A63" s="403" t="s">
        <v>2658</v>
      </c>
      <c r="B63" s="403"/>
      <c r="C63" s="403"/>
      <c r="D63" s="403"/>
      <c r="E63" s="403"/>
      <c r="F63" s="403"/>
      <c r="G63" s="19">
        <v>180</v>
      </c>
      <c r="H63" s="20"/>
      <c r="I63" s="70">
        <f>IF(I60&gt;I61,I60-I61,0)</f>
        <v>2696249</v>
      </c>
      <c r="J63" s="70">
        <f>IF(J60&gt;J61,J60-J61,0)</f>
        <v>1880250</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538638</v>
      </c>
      <c r="J65" s="71">
        <v>337431</v>
      </c>
      <c r="L65" s="2" t="s">
        <v>2591</v>
      </c>
    </row>
    <row r="66" spans="1:12" s="2" customFormat="1" ht="13.5" customHeight="1">
      <c r="A66" s="381" t="s">
        <v>2582</v>
      </c>
      <c r="B66" s="381"/>
      <c r="C66" s="381"/>
      <c r="D66" s="381"/>
      <c r="E66" s="381"/>
      <c r="F66" s="381"/>
      <c r="G66" s="19">
        <v>183</v>
      </c>
      <c r="H66" s="20"/>
      <c r="I66" s="70">
        <f>I62-I65</f>
        <v>2157611</v>
      </c>
      <c r="J66" s="70">
        <f>J62-J65</f>
        <v>1542819</v>
      </c>
      <c r="L66" s="2" t="s">
        <v>2591</v>
      </c>
    </row>
    <row r="67" spans="1:10" s="2" customFormat="1" ht="13.5" customHeight="1">
      <c r="A67" s="403" t="s">
        <v>779</v>
      </c>
      <c r="B67" s="403"/>
      <c r="C67" s="403"/>
      <c r="D67" s="403"/>
      <c r="E67" s="403"/>
      <c r="F67" s="403"/>
      <c r="G67" s="19">
        <v>184</v>
      </c>
      <c r="H67" s="20"/>
      <c r="I67" s="70">
        <f>IF(I66&gt;0,I66,0)</f>
        <v>2157611</v>
      </c>
      <c r="J67" s="70">
        <f>IF(J66&gt;0,J66,0)</f>
        <v>1542819</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 activePane="bottomLeft" state="frozen"/>
      <selection pane="topLeft" activeCell="A1" sqref="A1"/>
      <selection pane="bottomLeft" activeCell="J52" sqref="J5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89801268320; SPLITSKA OBALA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9583982</v>
      </c>
      <c r="J26" s="77">
        <v>9554266</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9583982</v>
      </c>
      <c r="J37" s="94">
        <v>9554266</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60549</v>
      </c>
      <c r="J50" s="77">
        <v>69700</v>
      </c>
    </row>
    <row r="51" spans="1:10" s="2" customFormat="1" ht="24.75" customHeight="1">
      <c r="A51" s="403" t="s">
        <v>2219</v>
      </c>
      <c r="B51" s="403"/>
      <c r="C51" s="403"/>
      <c r="D51" s="403"/>
      <c r="E51" s="403"/>
      <c r="F51" s="403"/>
      <c r="G51" s="443"/>
      <c r="H51" s="19">
        <v>253</v>
      </c>
      <c r="I51" s="77">
        <v>183130</v>
      </c>
      <c r="J51" s="77">
        <v>289637</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49202</v>
      </c>
      <c r="J73" s="94">
        <v>49628</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89801268320; SPLITSKA OBALA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89801268320; SPLITSKA OBALA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89801268320; SPLITSKA OBALA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Windows User</cp:lastModifiedBy>
  <cp:lastPrinted>2018-04-24T09:54:28Z</cp:lastPrinted>
  <dcterms:created xsi:type="dcterms:W3CDTF">2008-10-17T11:51:54Z</dcterms:created>
  <dcterms:modified xsi:type="dcterms:W3CDTF">2018-04-24T09:58:06Z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