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<sst xmlns="http://schemas.openxmlformats.org/spreadsheetml/2006/main" count="4926" uniqueCount="2986">
  <si>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</si>
  <si>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</si>
  <si>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</si>
  <si>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</si>
  <si>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</si>
  <si>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</si>
  <si>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</si>
  <si>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</si>
  <si>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</si>
  <si>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</si>
  <si>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</si>
  <si>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</si>
  <si>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</si>
  <si>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</si>
  <si>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</si>
  <si>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</si>
  <si>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</si>
  <si>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</si>
  <si>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</si>
  <si>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</si>
  <si>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</si>
  <si>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</si>
  <si>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</si>
  <si>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</si>
  <si>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</si>
  <si>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</si>
  <si>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</si>
  <si>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</si>
  <si>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</si>
  <si>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</si>
  <si>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</si>
  <si>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</si>
  <si>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</si>
  <si>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</si>
  <si>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</si>
  <si>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</si>
  <si>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</si>
  <si>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</si>
  <si>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</si>
  <si>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</si>
  <si>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</si>
  <si>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</si>
  <si>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</si>
  <si>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</si>
  <si>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</si>
  <si>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</si>
  <si>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</si>
  <si>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</si>
  <si>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</si>
  <si>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</si>
  <si>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</si>
  <si>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</si>
  <si>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</si>
  <si>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</si>
  <si>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</si>
  <si>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</si>
  <si>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</si>
  <si>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</si>
  <si>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</si>
  <si>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</si>
  <si>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</si>
  <si>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</si>
  <si>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</si>
  <si>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</si>
  <si>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</si>
  <si>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</si>
  <si>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</si>
  <si>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</si>
  <si>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</si>
  <si>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</si>
  <si>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</si>
  <si>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</si>
  <si>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</si>
  <si>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</si>
  <si>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</si>
  <si>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</si>
  <si>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</si>
  <si>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</si>
  <si>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</si>
  <si>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</si>
  <si>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</si>
  <si>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</si>
  <si>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</si>
  <si>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</si>
  <si>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</si>
  <si>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</si>
  <si>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</si>
  <si>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</si>
  <si>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</si>
  <si>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</si>
  <si>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</si>
  <si>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</si>
  <si>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</si>
  <si>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</si>
  <si>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</si>
  <si>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</si>
  <si>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</si>
  <si>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</si>
  <si>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</si>
  <si>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</si>
  <si>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</si>
  <si>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</si>
  <si>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</si>
  <si>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</si>
  <si>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</si>
  <si>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</si>
  <si>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</si>
  <si>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</si>
  <si>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</si>
  <si>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</si>
  <si>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</si>
  <si>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</si>
  <si>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</si>
  <si>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</si>
  <si>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</si>
  <si>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</si>
  <si>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</si>
  <si>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</si>
  <si>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</si>
  <si>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</si>
  <si>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</si>
  <si>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</si>
  <si>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</si>
  <si>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</si>
  <si>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</si>
  <si>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</si>
  <si>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</si>
  <si>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</si>
  <si>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</si>
  <si>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</si>
  <si>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</si>
  <si>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</si>
  <si>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</si>
  <si>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</si>
  <si>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</si>
  <si>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</si>
  <si>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</si>
  <si>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</si>
  <si>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</si>
  <si>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</si>
  <si>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</si>
  <si>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</si>
  <si>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</si>
  <si>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</si>
  <si>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</si>
  <si>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</si>
  <si>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</si>
  <si>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</si>
  <si>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</si>
  <si>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</si>
  <si>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</si>
  <si>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</si>
  <si>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</si>
  <si>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</si>
  <si>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</si>
  <si>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</si>
  <si>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</si>
  <si>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</si>
  <si>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</si>
  <si>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</si>
  <si>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</si>
  <si>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</si>
  <si>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</si>
  <si>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</si>
  <si>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</si>
  <si>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</si>
  <si>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</si>
  <si>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</si>
  <si>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</si>
  <si>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</si>
  <si>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</si>
  <si>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</si>
  <si>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</si>
  <si>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</si>
  <si>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</si>
  <si>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</si>
  <si>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</si>
  <si>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</si>
  <si>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</si>
  <si>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</si>
  <si>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</si>
  <si>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</si>
  <si>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</si>
  <si>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</si>
  <si>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</si>
  <si>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</si>
  <si>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</si>
  <si>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</si>
  <si>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</si>
  <si>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</si>
  <si>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</si>
  <si>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</si>
  <si>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</si>
  <si>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</si>
  <si>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</si>
  <si>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</si>
  <si>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</si>
  <si>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</si>
  <si>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</si>
  <si>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</si>
  <si>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</si>
  <si>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</si>
  <si>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</si>
  <si>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</si>
  <si>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</si>
  <si>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</si>
  <si>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</si>
  <si>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</si>
  <si>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</si>
  <si>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</si>
  <si>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</si>
  <si>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</si>
  <si>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</si>
  <si>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</si>
  <si>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</si>
  <si>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</si>
  <si>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</si>
  <si>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</si>
  <si>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</si>
  <si>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</si>
  <si>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</si>
  <si>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</si>
  <si>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</si>
  <si>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</si>
  <si>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</si>
  <si>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</si>
  <si>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</si>
  <si>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</si>
  <si>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</si>
  <si>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</si>
  <si>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</si>
  <si>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</si>
  <si>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</si>
  <si>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</si>
  <si>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</si>
  <si>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</si>
  <si>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</si>
  <si>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</si>
  <si>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</si>
  <si>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</si>
  <si>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</si>
  <si>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</si>
  <si>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</si>
  <si>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</si>
  <si>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</si>
  <si>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</si>
  <si>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</si>
  <si>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</si>
  <si>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</si>
  <si>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</si>
  <si>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</si>
  <si>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</si>
  <si>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</si>
  <si>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</si>
  <si>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</si>
  <si>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</si>
  <si>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</si>
  <si>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</si>
  <si>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</si>
  <si>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</si>
  <si>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</si>
  <si>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</si>
  <si>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</si>
  <si>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</si>
  <si>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</si>
  <si>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</si>
  <si>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</si>
  <si>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</si>
  <si>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</si>
  <si>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</si>
  <si>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</si>
  <si>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</si>
  <si>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</si>
  <si>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</si>
  <si>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</si>
  <si>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</si>
  <si>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</si>
  <si>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</si>
  <si>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</si>
  <si>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</si>
  <si>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</si>
  <si>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</si>
  <si>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</si>
  <si>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</si>
  <si>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</si>
  <si>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</si>
  <si>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</si>
  <si>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</si>
  <si>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</si>
  <si>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</si>
  <si>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</si>
  <si>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</si>
  <si>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</si>
  <si>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</si>
  <si>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</si>
  <si>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</si>
  <si>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</si>
  <si>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</si>
  <si>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</si>
  <si>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</si>
  <si>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</si>
  <si>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</si>
  <si>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</si>
  <si>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</si>
  <si>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</si>
  <si>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</si>
  <si>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</si>
  <si>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</si>
  <si>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</si>
  <si>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</si>
  <si>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</si>
  <si>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</si>
  <si>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</si>
  <si>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</si>
  <si>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</si>
  <si>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</si>
  <si>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</si>
  <si>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</si>
  <si>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</si>
  <si>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</si>
  <si>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</si>
  <si>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</si>
  <si>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</si>
  <si>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</si>
  <si>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</si>
  <si>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</si>
  <si>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</si>
  <si>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</si>
  <si>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</si>
  <si>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</si>
  <si>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</si>
  <si>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</si>
  <si>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</si>
  <si>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</si>
  <si>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</si>
  <si>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</si>
  <si>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</si>
  <si>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</si>
  <si>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</si>
  <si>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</si>
  <si>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</si>
  <si>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</si>
  <si>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</si>
  <si>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</si>
  <si>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</si>
  <si>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</si>
  <si>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</si>
  <si>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</si>
  <si>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</si>
  <si>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</si>
  <si>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</si>
  <si>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</si>
  <si>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</si>
  <si>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</si>
  <si>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</si>
  <si>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</si>
  <si>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</si>
  <si>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</si>
  <si>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</si>
  <si>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</si>
  <si>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</si>
  <si>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</si>
  <si>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</si>
  <si>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</si>
  <si>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</si>
  <si>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</si>
  <si>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</si>
  <si>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</si>
  <si>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</si>
  <si>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</si>
  <si>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</si>
  <si>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</si>
  <si>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</si>
  <si>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</si>
  <si>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</si>
  <si>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</si>
  <si>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</si>
  <si>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</si>
  <si>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</si>
  <si>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</si>
  <si>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</si>
  <si>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</si>
  <si>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</si>
  <si>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</si>
  <si>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</si>
  <si>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</si>
  <si>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</si>
  <si>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</si>
  <si>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</si>
  <si>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</si>
  <si>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</si>
  <si>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</si>
  <si>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</si>
  <si>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</si>
  <si>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</si>
  <si>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</si>
  <si>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</si>
  <si>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</si>
  <si>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</si>
  <si>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</si>
  <si>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</si>
  <si>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</si>
  <si>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</si>
  <si>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</si>
  <si>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</si>
  <si>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</si>
  <si>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</si>
  <si>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</si>
  <si>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</si>
  <si>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</si>
  <si>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</si>
  <si>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</si>
  <si>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</si>
  <si>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</si>
  <si>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</si>
  <si>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</si>
  <si>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</si>
  <si>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</si>
  <si>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</si>
  <si>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</si>
  <si>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</si>
  <si>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</si>
  <si>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</si>
  <si>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</si>
  <si>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</si>
  <si>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</si>
  <si>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</si>
  <si>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</si>
  <si>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</si>
  <si>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</si>
  <si>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</si>
  <si>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</si>
  <si>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</si>
  <si>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</si>
  <si>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</si>
  <si>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</si>
  <si>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</si>
  <si>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</si>
  <si>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</si>
  <si>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</si>
  <si>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</si>
  <si>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</si>
  <si>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</si>
  <si>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</si>
  <si>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</si>
  <si>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</si>
  <si>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</si>
  <si>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</si>
  <si>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</si>
  <si>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</si>
  <si>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</si>
  <si>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</si>
  <si>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</si>
  <si>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</si>
  <si>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</si>
  <si>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</si>
  <si>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</si>
  <si>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</si>
  <si>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</si>
  <si>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</si>
  <si>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</si>
  <si>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</si>
  <si>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</si>
  <si>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</si>
  <si>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</si>
  <si>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</si>
  <si>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</si>
  <si>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</si>
  <si>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</si>
  <si>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</si>
  <si>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</si>
  <si>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</si>
  <si>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</si>
  <si>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</si>
  <si>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</si>
  <si>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</si>
  <si>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</si>
  <si>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</si>
  <si>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</si>
  <si>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</si>
  <si>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</si>
  <si>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</si>
  <si>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</si>
  <si>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</si>
  <si>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</si>
  <si>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</si>
  <si>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</si>
  <si>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</si>
  <si>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</si>
  <si>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</si>
  <si>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</si>
  <si>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</si>
  <si>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</si>
  <si>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</si>
  <si>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</si>
  <si>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</si>
  <si>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</si>
  <si>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</si>
  <si>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</si>
  <si>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</si>
  <si>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</si>
  <si>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</si>
  <si>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</si>
  <si>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</si>
  <si>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</si>
  <si>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</si>
  <si>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</si>
  <si>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</si>
  <si>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</si>
  <si>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</si>
  <si>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</si>
  <si>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</si>
  <si>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</si>
  <si>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</si>
  <si>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</si>
  <si>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</si>
  <si>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</si>
  <si>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</si>
  <si>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</si>
  <si>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</si>
  <si>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</si>
  <si>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</si>
  <si>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</si>
  <si>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</si>
  <si>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</si>
  <si>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</si>
  <si>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</si>
  <si>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</si>
  <si>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</si>
  <si>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</si>
  <si>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</si>
  <si>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</si>
  <si>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</si>
  <si>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</si>
  <si>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</si>
  <si>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</si>
  <si>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</si>
  <si>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</si>
  <si>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</si>
  <si>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</si>
  <si>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</si>
  <si>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</si>
  <si>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</si>
  <si>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</si>
  <si>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</si>
  <si>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</si>
  <si>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</si>
  <si>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</si>
  <si>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</si>
  <si>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</si>
  <si>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</si>
  <si>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</si>
  <si>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</si>
  <si>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</si>
  <si>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</si>
  <si>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</si>
  <si>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</si>
  <si>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</si>
  <si>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</si>
  <si>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</si>
  <si>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</si>
  <si>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</si>
  <si>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</si>
  <si>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</si>
  <si>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</si>
  <si>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</si>
  <si>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</si>
  <si>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</si>
  <si>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</si>
  <si>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</si>
  <si>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</si>
  <si>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</si>
  <si>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</si>
  <si>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</si>
  <si>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</si>
  <si>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</si>
  <si>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</si>
  <si>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</si>
  <si>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</si>
  <si>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</si>
  <si>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</si>
  <si>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</si>
  <si>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</si>
  <si>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</si>
  <si>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</si>
  <si>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</si>
  <si>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</si>
  <si>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</si>
  <si>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</si>
  <si>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</si>
  <si>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</si>
  <si>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</si>
  <si>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</si>
  <si>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</si>
  <si>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</si>
  <si>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</si>
  <si>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</si>
  <si>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</si>
  <si>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</si>
  <si>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</si>
  <si>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</si>
  <si>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</si>
  <si>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</si>
  <si>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</si>
  <si>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</si>
  <si>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</si>
  <si>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</si>
  <si>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</si>
  <si>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</si>
  <si>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</si>
  <si>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</si>
  <si>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</si>
  <si>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</si>
  <si>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</si>
  <si>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</si>
  <si>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</si>
  <si>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</si>
  <si>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</si>
  <si>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</si>
  <si>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</si>
  <si>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</si>
  <si>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</si>
  <si>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</si>
  <si>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</si>
  <si>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</si>
  <si>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</si>
  <si>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</si>
  <si>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</si>
  <si>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</si>
  <si>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</si>
  <si>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</si>
  <si>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</si>
  <si>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</si>
  <si>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</si>
  <si>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</si>
  <si>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</si>
  <si>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</si>
  <si>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</si>
  <si>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</si>
  <si>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</si>
  <si>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</si>
  <si>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</si>
  <si>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</si>
  <si>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</si>
  <si>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</si>
  <si>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</si>
  <si>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</si>
  <si>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</si>
  <si>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</si>
  <si>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</si>
  <si>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</si>
  <si>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</si>
  <si>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</si>
  <si>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</si>
  <si>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</si>
  <si>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</si>
  <si>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</si>
  <si>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</si>
  <si>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</si>
  <si>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</si>
  <si>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</si>
  <si>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</si>
  <si>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</si>
  <si>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</si>
  <si>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</si>
  <si>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</si>
  <si>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</si>
  <si>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</si>
  <si>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</si>
  <si>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</si>
  <si>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</si>
  <si>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</si>
  <si>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</si>
  <si>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</si>
  <si>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</si>
  <si>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</si>
  <si>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</si>
  <si>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</si>
  <si>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</si>
  <si>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</si>
  <si>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</si>
  <si>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</si>
  <si>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</si>
  <si>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</si>
  <si>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</si>
  <si>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</si>
  <si>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</si>
  <si>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</si>
  <si>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</si>
  <si>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</si>
  <si>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</si>
  <si>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</si>
  <si>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</si>
  <si>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</si>
  <si>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</si>
  <si>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</si>
  <si>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</si>
  <si>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</si>
  <si>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</si>
  <si>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</si>
  <si>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</si>
  <si>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</si>
  <si>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</si>
  <si>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</si>
  <si>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</si>
  <si>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</si>
  <si>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</si>
  <si>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</si>
  <si>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</si>
  <si>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</si>
  <si>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</si>
  <si>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</si>
  <si>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</si>
  <si>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</si>
  <si>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</si>
  <si>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</si>
  <si>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</si>
  <si>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</si>
  <si>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</si>
  <si>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</si>
  <si>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</si>
  <si>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</si>
  <si>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</si>
  <si>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</si>
  <si>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</si>
  <si>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</si>
  <si>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</si>
  <si>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</si>
  <si>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</si>
  <si>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</si>
  <si>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</si>
  <si>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</si>
  <si>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</si>
  <si>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</si>
  <si>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</si>
  <si>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</si>
  <si>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</si>
  <si>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</si>
  <si>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</si>
  <si>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</si>
  <si>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</si>
  <si>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</si>
  <si>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</si>
  <si>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</si>
  <si>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</si>
  <si>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</si>
  <si>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</si>
  <si>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</si>
  <si>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</si>
  <si>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</si>
  <si>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</si>
  <si>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</si>
  <si>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</si>
  <si>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</si>
  <si>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</si>
  <si>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</si>
  <si>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</si>
  <si>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</si>
  <si>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</si>
  <si>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</si>
  <si>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</si>
  <si>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</si>
  <si>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</si>
  <si>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</si>
  <si>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</si>
  <si>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</si>
  <si>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</si>
  <si>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</si>
  <si>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</si>
  <si>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</si>
  <si>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</si>
  <si>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</si>
  <si>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</si>
  <si>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</si>
  <si>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</si>
  <si>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</si>
  <si>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</si>
  <si>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</si>
  <si>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</si>
  <si>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</si>
  <si>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</si>
  <si>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</si>
  <si>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</si>
  <si>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</si>
  <si>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</si>
  <si>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</si>
  <si>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</si>
  <si>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</si>
  <si>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</si>
  <si>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</si>
  <si>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</si>
  <si>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</si>
  <si>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</si>
  <si>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</si>
  <si>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</si>
  <si>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</si>
  <si>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</si>
  <si>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</si>
  <si>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</si>
  <si>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</si>
  <si>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</si>
  <si>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</si>
  <si>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</si>
  <si>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</si>
  <si>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</si>
  <si>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</si>
  <si>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</si>
  <si>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</si>
  <si>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</si>
  <si>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</si>
  <si>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</si>
  <si>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</si>
  <si>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</si>
  <si>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</si>
  <si>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</si>
  <si>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</si>
  <si>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</si>
  <si>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</si>
  <si>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</si>
  <si>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</si>
  <si>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</si>
  <si>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</si>
  <si>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</si>
  <si>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</si>
  <si>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</si>
  <si>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</si>
  <si>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</si>
  <si>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</si>
  <si>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</si>
  <si>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</si>
  <si>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</si>
  <si>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</si>
  <si>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</si>
  <si>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</si>
  <si>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</si>
  <si>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</si>
  <si>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</si>
  <si>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</si>
  <si>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</si>
  <si>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</si>
  <si>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</si>
  <si>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</si>
  <si>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</si>
  <si>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</si>
  <si>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</si>
  <si>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</si>
  <si>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</si>
  <si>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</si>
  <si>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</si>
  <si>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</si>
  <si>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</si>
  <si>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</si>
  <si>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</si>
  <si>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</si>
  <si>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</si>
  <si>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</si>
  <si>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</si>
  <si>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</si>
  <si>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</si>
  <si>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</si>
  <si>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</si>
  <si>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</si>
  <si>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</si>
  <si>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</si>
  <si>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</si>
  <si>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</si>
  <si>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</si>
  <si>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</si>
  <si>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</si>
  <si>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</si>
  <si>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</si>
  <si>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</si>
  <si>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</si>
  <si>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</si>
  <si>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</si>
  <si>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</si>
  <si>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</si>
  <si>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</si>
  <si>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</si>
  <si>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</si>
  <si>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</si>
  <si>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</si>
  <si>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</si>
  <si>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</si>
  <si>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</si>
  <si>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</si>
  <si>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</si>
  <si>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</si>
  <si>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</si>
  <si>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</si>
  <si>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</si>
  <si>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</si>
  <si>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</si>
  <si>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</si>
  <si>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</si>
  <si>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</si>
  <si>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</si>
  <si>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</si>
  <si>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</si>
  <si>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</si>
  <si>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</si>
  <si>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</si>
  <si>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</si>
  <si>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</si>
  <si>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</si>
  <si>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</si>
  <si>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</si>
  <si>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</si>
  <si>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</si>
  <si>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</si>
  <si>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</si>
  <si>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</si>
  <si>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</si>
  <si>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</si>
  <si>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</si>
  <si>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</si>
  <si>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</si>
  <si>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</si>
  <si>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</si>
  <si>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</si>
  <si>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</si>
  <si>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</si>
  <si>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</si>
  <si>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</si>
  <si>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</si>
  <si>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</si>
  <si>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</si>
  <si>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</si>
  <si>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</si>
  <si>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</si>
  <si>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</si>
  <si>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</si>
  <si>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</si>
  <si>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</si>
  <si>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</si>
  <si>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</si>
  <si>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</si>
  <si>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</si>
  <si>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</si>
  <si>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</si>
  <si>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</si>
  <si>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</si>
  <si>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</si>
  <si>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</si>
  <si>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</si>
  <si>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</si>
  <si>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</si>
  <si>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</si>
  <si>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</si>
  <si>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</si>
  <si>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</si>
  <si>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</si>
  <si>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</si>
  <si>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</si>
  <si>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</si>
  <si>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</si>
  <si>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</si>
  <si>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</si>
  <si>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</si>
  <si>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</si>
  <si>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</si>
  <si>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</si>
  <si>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</si>
  <si>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</si>
  <si>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</si>
  <si>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</si>
  <si>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</si>
  <si>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</si>
  <si>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</si>
  <si>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</si>
  <si>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</si>
  <si>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</si>
  <si>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</si>
  <si>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</si>
  <si>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</si>
  <si>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</si>
  <si>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</si>
  <si>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</si>
  <si>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</si>
  <si>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</si>
  <si>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</si>
  <si>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</si>
  <si>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</si>
  <si>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</si>
  <si>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</si>
  <si>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</si>
  <si>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</si>
  <si>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</si>
  <si>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</si>
  <si>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</si>
  <si>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</si>
  <si>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</si>
  <si>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</si>
  <si>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</si>
  <si>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</si>
  <si>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</si>
  <si>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</si>
  <si>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</si>
  <si>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</si>
  <si>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</si>
  <si>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</si>
  <si>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</si>
  <si>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</si>
  <si>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</si>
  <si>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</si>
  <si>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</si>
  <si>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</si>
  <si>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</si>
  <si>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</si>
  <si>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</si>
  <si>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</si>
  <si>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</si>
  <si>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</si>
  <si>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</si>
  <si>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</si>
  <si>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</si>
  <si>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</si>
  <si>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</si>
  <si>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</si>
  <si>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</si>
  <si>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</si>
  <si>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</si>
  <si>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</si>
  <si>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</si>
  <si>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</si>
  <si>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</si>
  <si>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</si>
  <si>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</si>
  <si>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</si>
  <si>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</si>
  <si>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</si>
  <si>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</si>
  <si>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</si>
  <si>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</si>
  <si>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</si>
  <si>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</si>
  <si>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</si>
  <si>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</si>
  <si>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</si>
  <si>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</si>
  <si>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</si>
  <si>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</si>
  <si>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</si>
  <si>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</si>
  <si>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</si>
  <si>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</si>
  <si>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</si>
  <si>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</si>
  <si>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</si>
  <si>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</si>
  <si>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</si>
  <si>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</si>
  <si>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</si>
  <si>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</si>
  <si>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</si>
  <si>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</si>
  <si>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</si>
  <si>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</si>
  <si>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</si>
  <si>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</si>
  <si>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</si>
  <si>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</si>
  <si>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</si>
  <si>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</si>
  <si>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</si>
  <si>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</si>
  <si>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</si>
  <si>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</si>
  <si>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</si>
  <si>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</si>
  <si>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</si>
  <si>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</si>
  <si>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</si>
  <si>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</si>
  <si>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</si>
  <si>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</si>
  <si>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</si>
  <si>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</si>
  <si>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</si>
  <si>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</si>
  <si>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</si>
  <si>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</si>
  <si>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</si>
  <si>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</si>
  <si>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</si>
  <si>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</si>
  <si>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</si>
  <si>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</si>
  <si>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</si>
  <si>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</si>
  <si>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</si>
  <si>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</si>
  <si>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</si>
  <si>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</si>
  <si>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</si>
  <si>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</si>
  <si>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</si>
  <si>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</si>
  <si>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</si>
  <si>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</si>
  <si>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</si>
  <si>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</si>
  <si>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</si>
  <si>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</si>
  <si>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</si>
  <si>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</si>
  <si>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</si>
  <si>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</si>
  <si>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</si>
  <si>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</si>
  <si>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</si>
  <si>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</si>
  <si>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</si>
  <si>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</si>
  <si>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</si>
  <si>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</si>
  <si>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</si>
  <si>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</si>
  <si>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</si>
  <si>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</si>
  <si>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</si>
  <si>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</si>
  <si>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</si>
  <si>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</si>
  <si>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</si>
  <si>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</si>
  <si>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</si>
  <si>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</si>
  <si>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</si>
  <si>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</si>
  <si>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</si>
  <si>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</si>
  <si>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</si>
  <si>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</si>
  <si>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</si>
  <si>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</si>
  <si>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</si>
  <si>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</si>
  <si>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</si>
  <si>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</si>
  <si>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</si>
  <si>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</si>
  <si>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</si>
  <si>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</si>
  <si>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</si>
  <si>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</si>
  <si>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</si>
  <si>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</si>
  <si>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</si>
  <si>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</si>
  <si>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</si>
  <si>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</si>
  <si>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</si>
  <si>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</si>
  <si>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</si>
  <si>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</si>
  <si>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</si>
  <si>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</si>
  <si>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</si>
  <si>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</si>
  <si>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</si>
  <si>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</si>
  <si>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</si>
  <si>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</si>
  <si>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</si>
  <si>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</si>
  <si>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</si>
  <si>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</si>
  <si>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</si>
  <si>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</si>
  <si>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</si>
  <si>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</si>
  <si>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</si>
  <si>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</si>
  <si>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</si>
  <si>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</si>
  <si>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</si>
  <si>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</si>
  <si>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</si>
  <si>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</si>
  <si>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</si>
  <si>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</si>
  <si>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</si>
  <si>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</si>
  <si>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</si>
  <si>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</si>
  <si>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</si>
  <si>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</si>
  <si>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</si>
  <si>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</si>
  <si>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</si>
  <si>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</si>
  <si>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</si>
  <si>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</si>
  <si>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</si>
  <si>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</si>
  <si>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</si>
  <si>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</si>
  <si>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</si>
  <si>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</si>
  <si>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</si>
  <si>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</si>
  <si>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</si>
  <si>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</si>
  <si>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</si>
  <si>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</si>
  <si>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</si>
  <si>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</si>
  <si>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</si>
  <si>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</si>
  <si>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</si>
  <si>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</si>
  <si>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</si>
  <si>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</si>
  <si>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</si>
  <si>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</si>
  <si>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</si>
  <si>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</si>
  <si>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</si>
  <si>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</si>
  <si>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</si>
  <si>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</si>
  <si>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</si>
  <si>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</si>
  <si>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</si>
  <si>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</si>
  <si>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</si>
  <si>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</si>
  <si>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</si>
  <si>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</si>
  <si>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</si>
  <si>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</si>
  <si>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</si>
  <si>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</si>
  <si>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</si>
  <si>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</si>
  <si>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</si>
  <si>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</si>
  <si>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</si>
  <si>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</si>
  <si>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</si>
  <si>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</si>
  <si>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</si>
  <si>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</si>
  <si>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</si>
  <si>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</si>
  <si>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</si>
  <si>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</si>
  <si>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</si>
  <si>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</si>
  <si>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</si>
  <si>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</si>
  <si>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</si>
  <si>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</si>
  <si>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</si>
  <si>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</si>
  <si>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</si>
  <si>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</si>
  <si>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</si>
  <si>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</si>
  <si>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</si>
  <si>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</si>
  <si>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</si>
  <si>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</si>
  <si>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</si>
  <si>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</si>
  <si>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</si>
  <si>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</si>
  <si>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</si>
  <si>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</si>
  <si>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</si>
  <si>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</si>
  <si>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</si>
  <si>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</si>
  <si>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</si>
  <si>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</si>
  <si>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</si>
  <si>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</si>
  <si>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</si>
  <si>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</si>
  <si>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</si>
  <si>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</si>
  <si>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</si>
  <si>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</si>
  <si>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</si>
  <si>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</si>
  <si>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</si>
  <si>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</si>
  <si>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</si>
  <si>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</si>
  <si>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</si>
  <si>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</si>
  <si>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</si>
  <si>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</si>
  <si>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</si>
  <si>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</si>
  <si>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</si>
  <si>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</si>
  <si>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</si>
  <si>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</si>
  <si>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</si>
  <si>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</si>
  <si>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</si>
  <si>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</si>
  <si>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</si>
  <si>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</si>
  <si>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</si>
  <si>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</si>
  <si>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</si>
  <si>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</si>
  <si>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</si>
  <si>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</si>
  <si>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</si>
  <si>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</si>
  <si>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</si>
  <si>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</si>
  <si>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</si>
  <si>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</si>
  <si>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</si>
  <si>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</si>
  <si>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</si>
  <si>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</si>
  <si>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</si>
  <si>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</si>
  <si>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</si>
  <si>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</si>
  <si>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</si>
  <si>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</si>
  <si>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</si>
  <si>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</si>
  <si>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</si>
  <si>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</si>
  <si>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</si>
  <si>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</si>
  <si>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</si>
  <si>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</si>
  <si>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</si>
  <si>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</si>
  <si>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</si>
  <si>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</si>
  <si>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</si>
  <si>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</si>
  <si>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</si>
  <si>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</si>
  <si>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</si>
  <si>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</si>
  <si>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</si>
  <si>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</si>
  <si>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</si>
  <si>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</si>
  <si>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</si>
  <si>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</si>
  <si>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</si>
  <si>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</si>
  <si>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</si>
  <si>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</si>
  <si>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</si>
  <si>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</si>
  <si>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</si>
  <si>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</si>
  <si>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</si>
  <si>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</si>
  <si>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</si>
  <si>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</si>
  <si>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</si>
  <si>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</si>
  <si>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</si>
  <si>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</si>
  <si>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</si>
  <si>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</si>
  <si>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</si>
  <si>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</si>
  <si>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</si>
  <si>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</si>
  <si>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</si>
  <si>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</si>
  <si>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</si>
  <si>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</si>
  <si>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</si>
  <si>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</si>
  <si>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</si>
  <si>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</si>
  <si>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</si>
  <si>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</si>
  <si>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</si>
  <si>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</si>
  <si>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</si>
  <si>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</si>
  <si>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</si>
  <si>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</si>
  <si>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</si>
  <si>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</si>
  <si>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</si>
  <si>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</si>
  <si>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</si>
  <si>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</si>
  <si>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</si>
  <si>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</si>
  <si>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</si>
  <si>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</si>
  <si>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</si>
  <si>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</si>
  <si>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</si>
  <si>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</si>
  <si>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</si>
  <si>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</si>
  <si>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</si>
  <si>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</si>
  <si>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</si>
  <si>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</si>
  <si>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</si>
  <si>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</si>
  <si>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</si>
  <si>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</si>
  <si>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</si>
  <si>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</si>
  <si>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</si>
  <si>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</si>
  <si>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</si>
  <si>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</si>
  <si>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</si>
  <si>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</si>
  <si>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</si>
  <si>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</si>
  <si>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</si>
  <si>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</si>
  <si>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</si>
  <si>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</si>
  <si>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</si>
  <si>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</si>
  <si>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</si>
  <si>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</si>
  <si>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</si>
  <si>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</si>
  <si>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</si>
  <si>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</si>
  <si>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</si>
  <si>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</si>
  <si>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</si>
  <si>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</si>
  <si>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</si>
  <si>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</si>
  <si>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</si>
  <si>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</si>
  <si>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</si>
  <si>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</si>
  <si>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</si>
  <si>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</si>
  <si>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</si>
  <si>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</si>
  <si>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</si>
  <si>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</si>
  <si>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</si>
  <si>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</si>
  <si>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</si>
  <si>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</si>
  <si>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</si>
  <si>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</si>
  <si>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</si>
  <si>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</si>
  <si>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</si>
  <si>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</si>
  <si>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</si>
  <si>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</si>
  <si>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</si>
  <si>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</si>
  <si>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</si>
  <si>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</si>
  <si>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</si>
  <si>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</si>
  <si>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</si>
  <si>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</si>
  <si>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</si>
  <si>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</si>
  <si>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</si>
  <si>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</si>
  <si>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</si>
  <si>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</si>
  <si>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</si>
  <si>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</si>
  <si>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</si>
  <si>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</si>
  <si>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</si>
  <si>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</si>
  <si>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</si>
  <si>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</si>
  <si>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</si>
  <si>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</si>
  <si>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</si>
  <si>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</si>
  <si>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</si>
  <si>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</si>
  <si>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</si>
  <si>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</si>
  <si>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</si>
  <si>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</si>
  <si>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</si>
  <si>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</si>
  <si>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</si>
  <si>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</si>
  <si>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</si>
  <si>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</si>
  <si>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</si>
  <si>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</si>
  <si>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</si>
  <si>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</si>
  <si>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</si>
  <si>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</si>
  <si>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</si>
  <si>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</si>
  <si>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</si>
  <si>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</si>
  <si>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</si>
  <si>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</si>
  <si>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</si>
  <si>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</si>
  <si>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</si>
  <si>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</si>
  <si>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</si>
  <si>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</si>
  <si>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</si>
  <si>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</si>
  <si>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</si>
  <si>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</si>
  <si>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</si>
  <si>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</si>
  <si>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</si>
  <si>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</si>
  <si>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</si>
  <si>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</si>
  <si>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</si>
  <si>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</si>
  <si>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</si>
  <si>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</si>
  <si>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</si>
  <si>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</si>
  <si>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</si>
  <si>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</si>
  <si>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</si>
  <si>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</si>
  <si>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</si>
  <si>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</si>
  <si>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</si>
  <si>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</si>
  <si>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</si>
  <si>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</si>
  <si>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</si>
  <si>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</si>
  <si>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</si>
  <si>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</si>
  <si>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</si>
  <si>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</si>
  <si>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</si>
  <si>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</si>
  <si>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</si>
  <si>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</si>
  <si>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</si>
  <si>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</si>
  <si>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</si>
  <si>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</si>
  <si>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</si>
  <si>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</si>
  <si>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</si>
  <si>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</si>
  <si>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</si>
  <si>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</si>
  <si>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</si>
  <si>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</si>
  <si>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</si>
  <si>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</si>
  <si>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</si>
  <si>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</si>
  <si>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</si>
  <si>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</si>
  <si>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</si>
  <si>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</si>
  <si>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</si>
  <si>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</si>
  <si>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</si>
  <si>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</si>
  <si>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</si>
  <si>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</si>
  <si>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</si>
  <si>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</si>
  <si>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</si>
  <si>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</si>
  <si>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</si>
  <si>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</si>
  <si>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</si>
  <si>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</si>
  <si>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</si>
  <si>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</si>
  <si>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</si>
  <si>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</si>
  <si>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</si>
  <si>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</si>
  <si>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</si>
  <si>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</si>
  <si>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</si>
  <si>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</si>
  <si>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</si>
  <si>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</si>
  <si>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</si>
  <si>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</si>
  <si>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</si>
  <si>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</si>
  <si>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</si>
  <si>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</si>
  <si>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</si>
  <si>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</si>
  <si>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</si>
  <si>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</si>
  <si>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</si>
  <si>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</si>
  <si>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2"/>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</si>
  <si>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</si>
  <si>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</si>
  <si>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</si>
  <si>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</si>
  <si>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</si>
  <si>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</si>
  <si>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</si>
  <si>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</si>
  <si>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</si>
  <si>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</si>
  <si>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</si>
  <si>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</si>
  <si>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</si>
  <si>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</si>
  <si>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</si>
  <si>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</si>
  <si>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</si>
  <si>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</si>
  <si>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</si>
  <si>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</si>
  <si>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</si>
  <si>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</si>
  <si>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</si>
  <si>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</si>
  <si>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</si>
  <si>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</si>
  <si>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</si>
  <si>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</si>
  <si>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</si>
  <si>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</si>
  <si>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</si>
  <si>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</si>
  <si>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</si>
  <si>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</si>
  <si>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</si>
  <si>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</si>
  <si>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</si>
  <si>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</si>
  <si>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</si>
  <si>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</si>
  <si>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</si>
  <si>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</si>
  <si>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</si>
  <si>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</si>
  <si>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</si>
  <si>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</si>
  <si>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</si>
  <si>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</si>
  <si>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</si>
  <si>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</si>
  <si>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</si>
  <si>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</si>
  <si>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</si>
  <si>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</si>
  <si>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</si>
  <si>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</si>
  <si>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</si>
  <si>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</si>
  <si>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</si>
  <si>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</si>
  <si>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</si>
  <si>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</si>
  <si>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</si>
  <si>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</si>
  <si>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</si>
  <si>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</si>
  <si>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</si>
  <si>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</si>
  <si>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</si>
  <si>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</si>
  <si>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</si>
  <si>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</si>
  <si>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</si>
  <si>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</si>
  <si>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</si>
  <si>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</si>
  <si>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</si>
  <si>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</si>
  <si>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</si>
  <si>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</si>
  <si>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</si>
  <si>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</si>
  <si>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</si>
  <si>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</si>
  <si>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</si>
  <si>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</si>
  <si>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</si>
  <si>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</si>
  <si>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</si>
  <si>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</si>
  <si>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</si>
  <si>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</si>
  <si>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</si>
  <si>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</si>
  <si>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</si>
  <si>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</si>
  <si>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</si>
  <si>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</si>
  <si>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</si>
  <si>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</si>
  <si>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</si>
  <si>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</si>
  <si>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</si>
  <si>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</si>
  <si>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</si>
  <si>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</si>
  <si>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</si>
  <si>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</si>
  <si>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</si>
  <si>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</si>
  <si>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</si>
  <si>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</si>
  <si>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</si>
  <si>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</si>
  <si>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</si>
  <si>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</si>
  <si>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</si>
  <si>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</si>
  <si>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</si>
  <si>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</si>
  <si>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</si>
  <si>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</si>
  <si>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</si>
  <si>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</si>
  <si>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</si>
  <si>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</si>
  <si>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</si>
  <si>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</si>
  <si>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</si>
  <si>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</si>
  <si>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</si>
  <si>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</si>
  <si>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</si>
  <si>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</si>
  <si>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</si>
  <si>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</si>
  <si>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</si>
  <si>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</si>
  <si>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</si>
  <si>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</si>
  <si>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</si>
  <si>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</si>
  <si>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</si>
  <si>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</si>
  <si>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</si>
  <si>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</si>
  <si>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</si>
  <si>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</si>
  <si>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</si>
  <si>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</si>
  <si>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</si>
  <si>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</si>
  <si>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</si>
  <si>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</si>
  <si>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</si>
  <si>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</si>
  <si>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</si>
  <si>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</si>
  <si>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</si>
  <si>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</si>
  <si>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</si>
  <si>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</si>
  <si>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</si>
  <si>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</si>
  <si>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</si>
  <si>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</si>
  <si>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</si>
  <si>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</si>
  <si>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</si>
  <si>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</si>
  <si>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</si>
  <si>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</si>
  <si>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</si>
  <si>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</si>
  <si>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</si>
  <si>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</si>
  <si>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</si>
  <si>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</si>
  <si>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</si>
  <si>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</si>
  <si>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</si>
  <si>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</si>
  <si>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</si>
  <si>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</si>
  <si>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</si>
  <si>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</si>
  <si>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</si>
  <si>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</si>
  <si>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</si>
  <si>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</si>
  <si>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</si>
  <si>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</si>
  <si>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</si>
  <si>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</si>
  <si>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</si>
  <si>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</si>
  <si>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</si>
  <si>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</si>
  <si>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</si>
  <si>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</si>
  <si>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</si>
  <si>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</si>
  <si>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</si>
  <si>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</si>
  <si>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</si>
  <si>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</si>
  <si>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</si>
  <si>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</si>
  <si>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</si>
  <si>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</si>
  <si>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</si>
  <si>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</si>
  <si>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</si>
  <si>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</si>
  <si>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</si>
  <si>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</si>
  <si>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</si>
  <si>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</si>
  <si>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</si>
  <si>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</si>
  <si>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</si>
  <si>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</si>
  <si>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</si>
  <si>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</si>
  <si>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</si>
  <si>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</si>
  <si>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</si>
  <si>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</si>
  <si>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</si>
  <si>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</si>
  <si>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</si>
  <si>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</si>
  <si>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</si>
  <si>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</si>
  <si>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</si>
  <si>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</si>
  <si>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</si>
  <si>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</si>
  <si>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</si>
  <si>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</si>
  <si>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</si>
  <si>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</si>
  <si>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</si>
  <si>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</si>
  <si>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</si>
  <si>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</si>
  <si>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</si>
  <si>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</si>
  <si>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</si>
  <si>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</si>
  <si>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</si>
  <si>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</si>
  <si>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</si>
  <si>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</si>
  <si>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</si>
  <si>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</si>
  <si>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</si>
  <si>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</si>
  <si>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</si>
  <si>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</si>
  <si>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</si>
  <si>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</si>
  <si>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</si>
  <si>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</si>
  <si>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</si>
  <si>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</si>
  <si>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</si>
  <si>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</si>
  <si>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</si>
  <si>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</si>
  <si>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</si>
  <si>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</si>
  <si>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</si>
  <si>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</si>
  <si>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</si>
  <si>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</si>
  <si>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</si>
  <si>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</si>
  <si>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</si>
  <si>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</si>
  <si>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</si>
  <si>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</si>
  <si>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</si>
  <si>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</si>
  <si>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</si>
  <si>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</si>
  <si>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</si>
  <si>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</si>
  <si>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</si>
  <si>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</si>
  <si>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</si>
  <si>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</si>
  <si>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</si>
  <si>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</si>
  <si>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</si>
  <si>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</si>
  <si>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</si>
  <si>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</si>
  <si>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</si>
  <si>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</si>
  <si>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</si>
  <si>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</si>
  <si>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</si>
  <si>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</si>
  <si>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</si>
  <si>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</si>
  <si>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</si>
  <si>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</si>
  <si>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</si>
  <si>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</si>
  <si>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</si>
  <si>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</si>
  <si>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</si>
  <si>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</si>
  <si>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</si>
  <si>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</si>
  <si>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</si>
  <si>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</si>
  <si>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</si>
  <si>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</si>
  <si>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</si>
  <si>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</si>
  <si>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</si>
  <si>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</si>
  <si>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</si>
  <si>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</si>
  <si>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</si>
  <si>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</si>
  <si>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</si>
  <si>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</si>
  <si>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</si>
  <si>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</si>
  <si>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</si>
  <si>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</si>
  <si>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</si>
  <si>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</si>
  <si>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</si>
  <si>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</si>
  <si>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</si>
  <si>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</si>
  <si>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</si>
  <si>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</si>
  <si>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</si>
  <si>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</si>
  <si>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</si>
  <si>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</si>
  <si>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</si>
  <si>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</si>
  <si>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</si>
  <si>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</si>
  <si>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</si>
  <si>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</si>
  <si>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</si>
  <si>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</si>
  <si>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</si>
  <si>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</si>
  <si>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</si>
  <si>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</si>
  <si>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</si>
  <si>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</si>
  <si>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</si>
  <si>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</si>
  <si>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</si>
  <si>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</si>
  <si>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</si>
  <si>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</si>
  <si>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</si>
  <si>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</si>
  <si>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</si>
  <si>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</si>
  <si>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</si>
  <si>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</si>
  <si>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</si>
  <si>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</si>
  <si>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</si>
  <si>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</si>
  <si>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</si>
  <si>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</si>
  <si>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</si>
  <si>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</si>
  <si>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</si>
  <si>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</si>
  <si>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</si>
  <si>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</si>
  <si>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</si>
  <si>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</si>
  <si>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</si>
  <si>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</si>
  <si>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</si>
  <si>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</si>
  <si>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</si>
  <si>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</si>
  <si>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</si>
  <si>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</si>
  <si>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</si>
  <si>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</si>
  <si>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</si>
  <si>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</si>
  <si>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</si>
  <si>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</si>
  <si>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</si>
  <si>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</si>
  <si>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</si>
  <si>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</si>
  <si>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</si>
  <si>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</si>
  <si>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</si>
  <si>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</si>
  <si>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</si>
  <si>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</si>
  <si>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</si>
  <si>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</si>
  <si>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</si>
  <si>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</si>
  <si>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</si>
  <si>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</si>
  <si>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</si>
  <si>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</si>
  <si>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</si>
  <si>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</si>
  <si>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</si>
  <si>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</si>
  <si>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</si>
  <si>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</si>
  <si>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</si>
  <si>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</si>
  <si>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</si>
  <si>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</si>
  <si>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</si>
  <si>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</si>
  <si>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</si>
  <si>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</si>
  <si>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</si>
  <si>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</si>
  <si>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</si>
  <si>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</si>
  <si>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</si>
  <si>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</si>
  <si>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</si>
  <si>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</si>
  <si>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</si>
  <si>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</si>
  <si>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</si>
  <si>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</si>
  <si>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</si>
  <si>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</si>
  <si>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</si>
  <si>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</si>
  <si>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</si>
  <si>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</si>
  <si>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</si>
  <si>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</si>
  <si>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</si>
  <si>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</si>
  <si>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</si>
  <si>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</si>
  <si>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</si>
  <si>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</si>
  <si>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</si>
  <si>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</si>
  <si>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</si>
  <si>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</si>
  <si>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</si>
  <si>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</si>
  <si>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</si>
  <si>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</si>
  <si>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</si>
  <si>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</si>
  <si>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</si>
  <si>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</si>
  <si>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</si>
  <si>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</si>
  <si>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</si>
  <si>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</si>
  <si>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</si>
  <si>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</si>
  <si>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</si>
  <si>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</si>
  <si>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</si>
  <si>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</si>
  <si>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</si>
  <si>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</si>
  <si>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</si>
  <si>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</si>
  <si>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</si>
  <si>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</si>
  <si>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</si>
  <si>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</si>
  <si>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</si>
  <si>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</si>
  <si>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</si>
  <si>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</si>
  <si>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</si>
  <si>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</si>
  <si>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</si>
  <si>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</si>
  <si>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</si>
  <si>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</si>
  <si>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</si>
  <si>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</si>
  <si>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</si>
  <si>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</si>
  <si>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</si>
  <si>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</si>
  <si>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</si>
  <si>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</si>
  <si>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</si>
  <si>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</si>
  <si>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</si>
  <si>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</si>
  <si>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</si>
  <si>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</si>
  <si>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</si>
  <si>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</si>
  <si>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</si>
  <si>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</si>
  <si>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</si>
  <si>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</si>
  <si>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</si>
  <si>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</si>
  <si>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</si>
  <si>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</si>
  <si>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</si>
  <si>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</si>
  <si>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</si>
  <si>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</si>
  <si>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</si>
  <si>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</si>
  <si>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</si>
  <si>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</si>
  <si>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</si>
  <si>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</si>
  <si>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</si>
  <si>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</si>
  <si>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</si>
  <si>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</si>
  <si>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</si>
  <si>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</si>
  <si>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</si>
  <si>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</si>
  <si>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</si>
  <si>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</si>
  <si>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</si>
  <si>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</si>
  <si>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</si>
  <si>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</si>
  <si>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</si>
  <si>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</si>
  <si>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</si>
  <si>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</si>
  <si>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</si>
  <si>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</si>
  <si>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</si>
  <si>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</si>
  <si>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</si>
  <si>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</si>
  <si>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</si>
  <si>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</si>
  <si>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</si>
  <si>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</si>
  <si>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</si>
  <si>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</si>
  <si>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</si>
  <si>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</si>
  <si>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</si>
  <si>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</si>
  <si>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</si>
  <si>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</si>
  <si>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</si>
  <si>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</si>
  <si>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</si>
  <si>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</si>
  <si>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</si>
  <si>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</si>
  <si>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</si>
  <si>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</si>
  <si>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</si>
  <si>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</si>
  <si>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</si>
  <si>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</si>
  <si>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</si>
  <si>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</si>
  <si>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</si>
  <si>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</si>
  <si>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</si>
  <si>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</si>
  <si>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</si>
  <si>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</si>
  <si>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</si>
  <si>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</si>
  <si>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</si>
  <si>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</si>
  <si>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</si>
  <si>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</si>
  <si>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</si>
  <si>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</si>
  <si>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</si>
  <si>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</si>
  <si>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</si>
  <si>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</si>
  <si>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</si>
  <si>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</si>
  <si>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</si>
  <si>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</si>
  <si>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</si>
  <si>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</si>
  <si>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</si>
  <si>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</si>
  <si>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</si>
  <si>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</si>
  <si>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</si>
  <si>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</si>
  <si>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</si>
  <si>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</si>
  <si>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</si>
  <si>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</si>
  <si>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</si>
  <si>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</si>
  <si>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</si>
  <si>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</si>
  <si>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</si>
  <si>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</si>
  <si>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</si>
  <si>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</si>
  <si>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</si>
  <si>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</si>
  <si>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</si>
  <si>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</si>
  <si>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</si>
  <si>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</si>
  <si>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</si>
  <si>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</si>
  <si>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</si>
  <si>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</si>
  <si>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</si>
  <si>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</si>
  <si>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</si>
  <si>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</si>
  <si>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</si>
  <si>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</si>
  <si>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</si>
  <si>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</si>
  <si>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</si>
  <si>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</si>
  <si>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</si>
  <si>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</si>
  <si>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</si>
  <si>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</si>
  <si>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</si>
  <si>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</si>
  <si>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</si>
  <si>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</si>
  <si>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</si>
  <si>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</si>
  <si>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</si>
  <si>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</si>
  <si>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</si>
  <si>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</si>
  <si>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</si>
  <si>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</si>
  <si>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</si>
  <si>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</si>
  <si>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</si>
  <si>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</si>
  <si>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</si>
  <si>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</si>
  <si>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</si>
  <si>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</si>
  <si>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</si>
  <si>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</si>
  <si>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</si>
  <si>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</si>
  <si>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</si>
  <si>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</si>
  <si>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</si>
  <si>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</si>
  <si>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</si>
  <si>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</si>
  <si>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</si>
  <si>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</si>
  <si>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</si>
  <si>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</si>
  <si>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</si>
  <si>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</si>
  <si>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</si>
  <si>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</si>
  <si>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</si>
  <si>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</si>
  <si>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</si>
  <si>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</si>
  <si>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</si>
  <si>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</si>
  <si>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</si>
  <si>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</si>
  <si>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</si>
  <si>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</si>
  <si>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</si>
  <si>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</si>
  <si>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</si>
  <si>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</si>
  <si>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</si>
  <si>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</si>
  <si>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</si>
  <si>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</si>
  <si>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</si>
  <si>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</si>
  <si>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</si>
  <si>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</si>
  <si>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</si>
  <si>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</si>
  <si>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</si>
  <si>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</si>
  <si>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</si>
  <si>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</si>
  <si>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</si>
  <si>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</si>
  <si>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</si>
  <si>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</si>
  <si>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</si>
  <si>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</si>
  <si>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</si>
  <si>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</si>
  <si>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</si>
  <si>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</si>
  <si>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</si>
  <si>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</si>
  <si>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</si>
  <si>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</si>
  <si>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</si>
  <si>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</si>
  <si>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</si>
  <si>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</si>
  <si>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</si>
  <si>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</si>
  <si>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</si>
  <si>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</si>
  <si>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</si>
  <si>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</si>
  <si>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</si>
  <si>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</si>
  <si>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</si>
  <si>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</si>
  <si>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</si>
  <si>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</si>
  <si>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</si>
  <si>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</si>
  <si>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</si>
  <si>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</si>
  <si>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</si>
  <si>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</si>
  <si>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</si>
  <si>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</si>
  <si>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</si>
  <si>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</si>
  <si>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</si>
  <si>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</si>
  <si>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</si>
  <si>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</si>
  <si>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</si>
  <si>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</si>
  <si>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</si>
  <si>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</si>
  <si>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</si>
  <si>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</si>
  <si>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</si>
  <si>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</si>
  <si>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</si>
  <si>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</si>
  <si>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</si>
  <si>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</si>
  <si>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</si>
  <si>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</si>
  <si>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</si>
  <si>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</si>
  <si>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</si>
  <si>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</si>
  <si>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</si>
  <si>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</si>
  <si>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</si>
  <si>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</si>
  <si>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</si>
  <si>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</si>
  <si>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</si>
  <si>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</si>
  <si>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</si>
  <si>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</si>
  <si>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</si>
  <si>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</si>
  <si>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</si>
  <si>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</si>
  <si>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</si>
  <si>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</si>
  <si>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</si>
  <si>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</si>
  <si>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</si>
  <si>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</si>
  <si>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</si>
  <si>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</si>
  <si>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</si>
  <si>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</si>
  <si>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</si>
  <si>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</si>
  <si>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</si>
  <si>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</si>
  <si>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</si>
  <si>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</si>
  <si>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</si>
  <si>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</si>
  <si>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</si>
  <si>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</si>
  <si>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</si>
  <si>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</si>
  <si>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</si>
  <si>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</si>
  <si>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</si>
  <si>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</si>
  <si>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</si>
  <si>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</si>
  <si>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</si>
  <si>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</si>
  <si>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</si>
  <si>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</si>
  <si>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</si>
  <si>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</si>
  <si>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</si>
  <si>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</si>
  <si>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</si>
  <si>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</si>
  <si>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</si>
  <si>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</si>
  <si>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</si>
  <si>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</si>
  <si>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</si>
  <si>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</si>
  <si>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</si>
  <si>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</si>
  <si>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</si>
  <si>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</si>
  <si>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</si>
  <si>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</si>
  <si>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</si>
  <si>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</si>
  <si>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</si>
  <si>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</si>
  <si>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</si>
  <si>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</si>
  <si>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</si>
  <si>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</si>
  <si>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</si>
  <si>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</si>
  <si>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</si>
  <si>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</si>
  <si>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</si>
  <si>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</si>
  <si>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</si>
  <si>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</si>
  <si>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</si>
  <si>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</si>
  <si>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</si>
  <si>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</si>
  <si>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</si>
  <si>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</si>
  <si>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</si>
  <si>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</si>
  <si>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</si>
  <si>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</si>
  <si>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</si>
  <si>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</si>
  <si>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</si>
  <si>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</si>
  <si>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</si>
  <si>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</si>
  <si>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</si>
  <si>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</si>
  <si>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</si>
  <si>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</si>
  <si>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</si>
  <si>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</si>
  <si>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</si>
  <si>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</si>
  <si>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</si>
  <si>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</si>
  <si>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</si>
  <si>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</si>
  <si>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</si>
  <si>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</si>
  <si>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</si>
  <si>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</si>
  <si>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</si>
  <si>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</si>
  <si>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</si>
  <si>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</si>
  <si>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</si>
  <si>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</si>
  <si>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</si>
  <si>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</si>
  <si>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</si>
  <si>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</si>
  <si>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</si>
  <si>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</si>
  <si>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</si>
  <si>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</si>
  <si>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</si>
  <si>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</si>
  <si>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</si>
  <si>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</si>
  <si>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</si>
  <si>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</si>
  <si>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</si>
  <si>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</si>
  <si>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</si>
  <si>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</si>
  <si>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</si>
  <si>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</si>
  <si>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</si>
  <si>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</si>
  <si>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</si>
  <si>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</si>
  <si>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</si>
  <si>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</si>
  <si>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</si>
  <si>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</si>
  <si>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</si>
  <si>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</si>
  <si>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</si>
  <si>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</si>
  <si>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</si>
  <si>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</si>
  <si>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</si>
  <si>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</si>
  <si>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</si>
  <si>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</si>
  <si>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</si>
  <si>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</si>
  <si>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</si>
  <si>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</si>
  <si>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</si>
  <si>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</si>
  <si>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</si>
  <si>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</si>
  <si>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</si>
  <si>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</si>
  <si>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</si>
  <si>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</si>
  <si>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</si>
  <si>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</si>
  <si>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</si>
  <si>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</si>
  <si>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</si>
  <si>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</si>
  <si>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</si>
  <si>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</si>
  <si>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</si>
  <si>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</si>
  <si>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</si>
  <si>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</si>
  <si>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</si>
  <si>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</si>
  <si>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</si>
  <si>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</si>
  <si>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</si>
  <si>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</si>
  <si>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</si>
  <si>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</si>
  <si>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</si>
  <si>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</si>
  <si>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</si>
  <si>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</si>
  <si>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</si>
  <si>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</si>
  <si>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</si>
  <si>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</si>
  <si>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</si>
  <si>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</si>
  <si>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</si>
  <si>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</si>
  <si>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</si>
  <si>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</si>
  <si>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</si>
  <si>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</si>
  <si>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</si>
  <si>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</si>
  <si>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</si>
  <si>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</si>
  <si>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</si>
  <si>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</si>
  <si>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</si>
  <si>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</si>
  <si>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</si>
  <si>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</si>
  <si>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</si>
  <si>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</si>
  <si>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</si>
  <si>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</si>
  <si>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</si>
  <si>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</si>
  <si>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</si>
  <si>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</si>
  <si>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</si>
  <si>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</si>
  <si>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</si>
  <si>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</si>
  <si>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</si>
  <si>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</si>
  <si>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</si>
  <si>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</si>
  <si>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</si>
  <si>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</si>
  <si>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</si>
  <si>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</si>
  <si>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</si>
  <si>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</si>
  <si>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</si>
  <si>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</si>
  <si>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</si>
  <si>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</si>
  <si>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</si>
  <si>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</si>
  <si>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</si>
  <si>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</si>
  <si>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</si>
  <si>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</si>
  <si>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</si>
  <si>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</si>
  <si>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</si>
  <si>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</si>
  <si>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</si>
  <si>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</si>
  <si>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</si>
  <si>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</si>
  <si>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</si>
  <si>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</si>
  <si>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</si>
  <si>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</si>
  <si>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</si>
  <si>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</si>
  <si>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</si>
  <si>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</si>
  <si>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</si>
  <si>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</si>
  <si>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</si>
  <si>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</si>
  <si>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</si>
  <si>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</si>
  <si>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</si>
  <si>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</si>
  <si>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</si>
  <si>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</si>
  <si>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</si>
  <si>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</si>
  <si>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</si>
  <si>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</si>
  <si>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</si>
  <si>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</si>
  <si>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</si>
  <si>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</si>
  <si>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</si>
  <si>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</si>
  <si>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</si>
  <si>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</si>
  <si>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</si>
  <si>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</si>
  <si>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</si>
  <si>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</si>
  <si>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</si>
  <si>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</si>
  <si>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</si>
  <si>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</si>
  <si>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</si>
  <si>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</si>
  <si>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</si>
  <si>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</si>
  <si>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</si>
  <si>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</si>
  <si>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</si>
  <si>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</si>
  <si>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</si>
  <si>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</si>
  <si>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</si>
  <si>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</si>
  <si>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</si>
  <si>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</si>
  <si>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</si>
  <si>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</si>
  <si>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</si>
  <si>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</si>
  <si>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</si>
  <si>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</si>
  <si>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</si>
  <si>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</si>
  <si>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</si>
  <si>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</si>
  <si>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</si>
  <si>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</si>
  <si>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</si>
  <si>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</si>
  <si>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</si>
  <si>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</si>
  <si>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</si>
  <si>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</si>
  <si>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</si>
  <si>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</si>
  <si>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</si>
  <si>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</si>
  <si>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</si>
  <si>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</si>
  <si>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</si>
  <si>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</si>
  <si>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</si>
  <si>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</si>
  <si>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</si>
  <si>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</si>
  <si>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</si>
  <si>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</si>
  <si>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</si>
  <si>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</si>
  <si>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</si>
  <si>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</si>
  <si>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</si>
  <si>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</si>
  <si>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</si>
  <si>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</si>
  <si>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</si>
  <si>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</si>
  <si>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</si>
  <si>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</si>
  <si>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</si>
  <si>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</si>
  <si>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</si>
  <si>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</si>
  <si>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</si>
  <si>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</si>
  <si>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</si>
  <si>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</si>
  <si>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</si>
  <si>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</si>
  <si>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</si>
  <si>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</si>
  <si>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</si>
  <si>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</si>
  <si>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</si>
  <si>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</si>
  <si>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</si>
  <si>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</si>
  <si>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</si>
  <si>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</si>
  <si>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</si>
  <si>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</si>
  <si>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</si>
  <si>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</si>
  <si>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</si>
  <si>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</si>
  <si>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</si>
  <si>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</si>
  <si>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</si>
  <si>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</si>
  <si>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</si>
  <si>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</si>
  <si>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</si>
  <si>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</si>
  <si>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</si>
  <si>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</si>
  <si>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</si>
  <si>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</si>
  <si>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</si>
  <si>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</si>
  <si>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</si>
  <si>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</si>
  <si>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</si>
  <si>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</si>
  <si>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</si>
  <si>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</si>
  <si>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</si>
  <si>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</si>
  <si>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</si>
  <si>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</si>
  <si>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</si>
  <si>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</si>
  <si>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</si>
  <si>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</si>
  <si>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</si>
  <si>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</si>
  <si>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</si>
  <si>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</si>
  <si>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</si>
  <si>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</si>
  <si>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</si>
  <si>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</si>
  <si>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</si>
  <si>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</si>
  <si>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</si>
  <si>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</si>
  <si>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</si>
  <si>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</si>
  <si>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</si>
  <si>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</si>
  <si>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</si>
  <si>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</si>
  <si>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</si>
  <si>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</si>
  <si>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</si>
  <si>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</si>
  <si>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</si>
  <si>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</si>
  <si>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</si>
  <si>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</si>
  <si>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</si>
  <si>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</si>
  <si>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</si>
  <si>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</si>
  <si>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</si>
  <si>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</si>
  <si>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</si>
  <si>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</si>
  <si>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</si>
  <si>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</si>
  <si>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</si>
  <si>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</si>
  <si>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</si>
  <si>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</si>
  <si>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</si>
  <si>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</si>
  <si>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</si>
  <si>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</si>
  <si>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</si>
  <si>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</si>
  <si>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</si>
  <si>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</si>
  <si>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</si>
  <si>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</si>
  <si>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</si>
  <si>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</si>
  <si>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</si>
  <si>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</si>
  <si>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</si>
  <si>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</si>
  <si>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</si>
  <si>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</si>
  <si>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</si>
  <si>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</si>
  <si>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</si>
  <si>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</si>
  <si>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</si>
  <si>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</si>
  <si>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</si>
  <si>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</si>
  <si>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</si>
  <si>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</si>
  <si>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</si>
  <si>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</si>
  <si>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</si>
  <si>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</si>
  <si>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</si>
  <si>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</si>
  <si>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</si>
  <si>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</si>
  <si>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</si>
  <si>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</si>
  <si>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</si>
  <si>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</si>
  <si>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</si>
  <si>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</si>
  <si>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</si>
  <si>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</si>
  <si>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</si>
  <si>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</si>
  <si>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</si>
  <si>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</si>
  <si>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</si>
  <si>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</si>
  <si>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</si>
  <si>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</si>
  <si>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</si>
  <si>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</si>
  <si>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</si>
  <si>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</si>
  <si>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</si>
  <si>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</si>
  <si>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</si>
  <si>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</si>
  <si>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</si>
  <si>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</si>
  <si>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</si>
  <si>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</si>
  <si>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</si>
  <si>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</si>
  <si>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</si>
  <si>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</si>
  <si>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</si>
  <si>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</si>
  <si>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</si>
  <si>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</si>
  <si>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</si>
  <si>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</si>
  <si>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</si>
  <si>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</si>
  <si>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</si>
  <si>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</si>
  <si>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</si>
  <si>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</si>
  <si>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</si>
  <si>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</si>
  <si>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</si>
  <si>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</si>
  <si>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</si>
  <si>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</si>
  <si>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</si>
  <si>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</si>
  <si>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</si>
  <si>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</si>
  <si>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</si>
  <si>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</si>
  <si>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</si>
  <si>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</si>
  <si>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</si>
  <si>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</si>
  <si>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</si>
  <si>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</si>
  <si>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</si>
  <si>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</si>
  <si>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</si>
  <si>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</si>
  <si>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</si>
  <si>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</si>
  <si>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</si>
  <si>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</si>
  <si>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</si>
  <si>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</si>
  <si>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</si>
  <si>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</si>
  <si>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</si>
  <si>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</si>
  <si>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</si>
  <si>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</si>
  <si>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</si>
  <si>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</si>
  <si>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</si>
  <si>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</si>
  <si>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</si>
  <si>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</si>
  <si>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</si>
  <si>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</si>
  <si>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</si>
  <si>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</si>
  <si>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</si>
  <si>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</si>
  <si>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</si>
  <si>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</si>
  <si>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</si>
  <si>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</si>
  <si>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</si>
  <si>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</si>
  <si>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</si>
  <si>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</si>
  <si>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</si>
  <si>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</si>
  <si>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</si>
  <si>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</si>
  <si>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02678535</t>
  </si>
  <si>
    <t>060264886</t>
  </si>
  <si>
    <t>89801268320</t>
  </si>
  <si>
    <t>SPLITSKA OBALA d.o.o.</t>
  </si>
  <si>
    <t>SPLIT</t>
  </si>
  <si>
    <t>Ulica kralja Zvonimira 14</t>
  </si>
  <si>
    <t>www.splitskaobala.hr</t>
  </si>
  <si>
    <t>info@splitskaobala.hr</t>
  </si>
  <si>
    <t>Ivana Kapović</t>
  </si>
  <si>
    <t>021/355-139</t>
  </si>
  <si>
    <t>021/355-142</t>
  </si>
  <si>
    <t>ivana.kapovic@splitskaobala.hr</t>
  </si>
  <si>
    <t>Bonačić Perislav</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</si>
</sst>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1151853.76</v>
      </c>
      <c r="I3" s="27">
        <f>ABS(ROUND(J3,0)-J3)+ABS(ROUND(K3,0)-K3)</f>
        <v>0</v>
      </c>
      <c r="J3" s="75">
        <f>Bilanca!K11</f>
        <v>19762836</v>
      </c>
      <c r="K3" s="76">
        <f>Bilanca!L11</f>
        <v>18914926</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02678535</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060264886</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89801268320</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SPLITSKA OBALA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21000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SPLIT</v>
      </c>
      <c r="C11" s="27"/>
      <c r="D11" s="27" t="s">
        <v>2272</v>
      </c>
      <c r="E11" s="27">
        <v>1</v>
      </c>
      <c r="F11" s="27">
        <f>Bilanca!I19</f>
        <v>10</v>
      </c>
      <c r="G11" s="27">
        <f>IF(Bilanca!J19=0,"",Bilanca!J19)</f>
      </c>
      <c r="H11" s="224">
        <f t="shared" si="1"/>
        <v>5759268.8</v>
      </c>
      <c r="I11" s="27">
        <f t="shared" si="2"/>
        <v>0</v>
      </c>
      <c r="J11" s="75">
        <f>Bilanca!K19</f>
        <v>19762836</v>
      </c>
      <c r="K11" s="76">
        <f>Bilanca!L19</f>
        <v>18914926</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Ulica kralja Zvonimira 14</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info@splitskaobala.hr</v>
      </c>
      <c r="C13" s="27"/>
      <c r="D13" s="27" t="s">
        <v>2272</v>
      </c>
      <c r="E13" s="27">
        <v>1</v>
      </c>
      <c r="F13" s="27">
        <f>Bilanca!I21</f>
        <v>12</v>
      </c>
      <c r="G13" s="27">
        <f>IF(Bilanca!J21=0,"",Bilanca!J21)</f>
      </c>
      <c r="H13" s="224">
        <f t="shared" si="1"/>
        <v>6730724.4</v>
      </c>
      <c r="I13" s="27">
        <f t="shared" si="2"/>
        <v>0</v>
      </c>
      <c r="J13" s="75">
        <f>Bilanca!K21</f>
        <v>19225844</v>
      </c>
      <c r="K13" s="76">
        <f>Bilanca!L21</f>
        <v>18431763</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www.splitskaobala.hr</v>
      </c>
      <c r="C14" s="27"/>
      <c r="D14" s="27" t="s">
        <v>2272</v>
      </c>
      <c r="E14" s="27">
        <v>1</v>
      </c>
      <c r="F14" s="27">
        <f>Bilanca!I22</f>
        <v>13</v>
      </c>
      <c r="G14" s="27">
        <f>IF(Bilanca!J22=0,"",Bilanca!J22)</f>
      </c>
      <c r="H14" s="224">
        <f t="shared" si="1"/>
        <v>170856.27</v>
      </c>
      <c r="I14" s="77">
        <f t="shared" si="2"/>
        <v>0</v>
      </c>
      <c r="J14" s="75">
        <f>Bilanca!K22</f>
        <v>458361</v>
      </c>
      <c r="K14" s="76">
        <f>Bilanca!L22</f>
        <v>427959</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17</v>
      </c>
      <c r="C15" s="27"/>
      <c r="D15" s="27" t="s">
        <v>2272</v>
      </c>
      <c r="E15" s="27">
        <v>1</v>
      </c>
      <c r="F15" s="27">
        <f>Bilanca!I23</f>
        <v>14</v>
      </c>
      <c r="G15" s="27">
        <f>IF(Bilanca!J23=0,"",Bilanca!J23)</f>
      </c>
      <c r="H15" s="224">
        <f t="shared" si="1"/>
        <v>0</v>
      </c>
      <c r="I15" s="27">
        <f t="shared" si="2"/>
        <v>0</v>
      </c>
      <c r="J15" s="75">
        <f>Bilanca!K23</f>
        <v>0</v>
      </c>
      <c r="K15" s="76">
        <f>Bilanca!L23</f>
        <v>0</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409</v>
      </c>
      <c r="C16" s="27"/>
      <c r="D16" s="27" t="s">
        <v>2272</v>
      </c>
      <c r="E16" s="27">
        <v>1</v>
      </c>
      <c r="F16" s="27">
        <f>Bilanca!I24</f>
        <v>15</v>
      </c>
      <c r="G16" s="27">
        <f>IF(Bilanca!J24=0,"",Bilanca!J24)</f>
      </c>
      <c r="H16" s="224">
        <f t="shared" si="1"/>
        <v>28355.85</v>
      </c>
      <c r="I16" s="77">
        <f t="shared" si="2"/>
        <v>0</v>
      </c>
      <c r="J16" s="75">
        <f>Bilanca!K24</f>
        <v>78631</v>
      </c>
      <c r="K16" s="76">
        <f>Bilanca!L24</f>
        <v>55204</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6820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1</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25</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28</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24</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29</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5001672.68</v>
      </c>
      <c r="I35" s="27">
        <f t="shared" si="2"/>
        <v>0</v>
      </c>
      <c r="J35" s="75">
        <f>Bilanca!K43</f>
        <v>3539882</v>
      </c>
      <c r="K35" s="76">
        <f>Bilanca!L43</f>
        <v>5585460</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Ivana Kapović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021/355-139</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021/355-142</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ivana.kapovic@splitskaobala.hr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Bonačić Perislav</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1447788.5</v>
      </c>
      <c r="I44" s="77">
        <f t="shared" si="2"/>
        <v>0</v>
      </c>
      <c r="J44" s="75">
        <f>Bilanca!K52</f>
        <v>1185574</v>
      </c>
      <c r="K44" s="76">
        <f>Bilanca!L52</f>
        <v>1090688</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1495986.2999999998</v>
      </c>
      <c r="I46" s="77">
        <f t="shared" si="4"/>
        <v>0</v>
      </c>
      <c r="J46" s="75">
        <f>Bilanca!K54</f>
        <v>1161738</v>
      </c>
      <c r="K46" s="76">
        <f>Bilanca!L54</f>
        <v>1081338</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DA</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14138.88</v>
      </c>
      <c r="I49" s="27">
        <f t="shared" si="4"/>
        <v>0</v>
      </c>
      <c r="J49" s="75">
        <f>Bilanca!K57</f>
        <v>19476</v>
      </c>
      <c r="K49" s="76">
        <f>Bilanca!L57</f>
        <v>4990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6409.200000000001</v>
      </c>
      <c r="I50" s="77">
        <f t="shared" si="4"/>
        <v>0</v>
      </c>
      <c r="J50" s="75">
        <f>Bilanca!K58</f>
        <v>4360</v>
      </c>
      <c r="K50" s="76">
        <f>Bilanca!L58</f>
        <v>4360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4281451.5</v>
      </c>
      <c r="I51" s="27">
        <f t="shared" si="4"/>
        <v>0</v>
      </c>
      <c r="J51" s="75">
        <f>Bilanca!K59</f>
        <v>861127</v>
      </c>
      <c r="K51" s="76">
        <f>Bilanca!L59</f>
        <v>3850888</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NE</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NE</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NE</v>
      </c>
      <c r="C57" s="27"/>
      <c r="D57" s="27" t="s">
        <v>2272</v>
      </c>
      <c r="E57" s="27">
        <v>1</v>
      </c>
      <c r="F57" s="27">
        <f>Bilanca!I65</f>
        <v>56</v>
      </c>
      <c r="G57" s="27">
        <f>IF(Bilanca!J65=0,"",Bilanca!J65)</f>
      </c>
      <c r="H57" s="224">
        <f t="shared" si="3"/>
        <v>4795225.68</v>
      </c>
      <c r="I57" s="27">
        <f t="shared" si="4"/>
        <v>0</v>
      </c>
      <c r="J57" s="75">
        <f>Bilanca!K65</f>
        <v>861127</v>
      </c>
      <c r="K57" s="76">
        <f>Bilanca!L65</f>
        <v>3850888</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1865113746.82</v>
      </c>
      <c r="C59" s="27"/>
      <c r="D59" s="27" t="s">
        <v>2272</v>
      </c>
      <c r="E59" s="27">
        <v>1</v>
      </c>
      <c r="F59" s="27">
        <f>Bilanca!I67</f>
        <v>58</v>
      </c>
      <c r="G59" s="27">
        <f>IF(Bilanca!J67=0,"",Bilanca!J67)</f>
      </c>
      <c r="H59" s="224">
        <f t="shared" si="3"/>
        <v>1612950.42</v>
      </c>
      <c r="I59" s="27">
        <f t="shared" si="4"/>
        <v>0</v>
      </c>
      <c r="J59" s="75">
        <f>Bilanca!K67</f>
        <v>1493181</v>
      </c>
      <c r="K59" s="76">
        <f>Bilanca!L67</f>
        <v>643884</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2537</v>
      </c>
      <c r="I60" s="77">
        <f t="shared" si="4"/>
        <v>0</v>
      </c>
      <c r="J60" s="75">
        <f>Bilanca!K68</f>
        <v>4300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43384674</v>
      </c>
      <c r="I61" s="27">
        <f>ABS(ROUND(J61,0)-J61)+ABS(ROUND(K61,0)-K61)</f>
        <v>0</v>
      </c>
      <c r="J61" s="75">
        <f>Bilanca!K69</f>
        <v>23307018</v>
      </c>
      <c r="K61" s="76">
        <f>Bilanca!L69</f>
        <v>24500386</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42504402.56</v>
      </c>
      <c r="I63" s="27">
        <f>ABS(ROUND(J63,0)-J63)+ABS(ROUND(K63,0)-K63)</f>
        <v>0</v>
      </c>
      <c r="J63" s="75">
        <f>Bilanca!K72</f>
        <v>22149146</v>
      </c>
      <c r="K63" s="76">
        <f>Bilanca!L72</f>
        <v>23203171</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37800</v>
      </c>
      <c r="I64" s="27">
        <f>ABS(ROUND(J64,0)-J64)+ABS(ROUND(K64,0)-K64)</f>
        <v>0</v>
      </c>
      <c r="J64" s="75">
        <f>Bilanca!K73</f>
        <v>20000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40723224.32</v>
      </c>
      <c r="I65" s="27">
        <f aca="true" t="shared" si="6" ref="I65:I98">ABS(ROUND(J65,0)-J65)+ABS(ROUND(K65,0)-K65)</f>
        <v>0</v>
      </c>
      <c r="J65" s="75">
        <f>Bilanca!K74</f>
        <v>21477284</v>
      </c>
      <c r="K65" s="76">
        <f>Bilanca!L74</f>
        <v>21076377</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1076105.52</v>
      </c>
      <c r="I73" s="27">
        <f t="shared" si="6"/>
        <v>0</v>
      </c>
      <c r="J73" s="75">
        <f>Bilanca!K82</f>
        <v>190867</v>
      </c>
      <c r="K73" s="76">
        <f>Bilanca!L82</f>
        <v>651862</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1091051.43</v>
      </c>
      <c r="I74" s="27">
        <f t="shared" si="6"/>
        <v>0</v>
      </c>
      <c r="J74" s="75">
        <f>Bilanca!K83</f>
        <v>190867</v>
      </c>
      <c r="K74" s="76">
        <f>Bilanca!L83</f>
        <v>651862</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2528144.25</v>
      </c>
      <c r="I76" s="27">
        <f t="shared" si="6"/>
        <v>0</v>
      </c>
      <c r="J76" s="75">
        <f>Bilanca!K85</f>
        <v>460995</v>
      </c>
      <c r="K76" s="76">
        <f>Bilanca!L85</f>
        <v>1454932</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2561852.8400000003</v>
      </c>
      <c r="I77" s="27">
        <f t="shared" si="6"/>
        <v>0</v>
      </c>
      <c r="J77" s="75">
        <f>Bilanca!K86</f>
        <v>460995</v>
      </c>
      <c r="K77" s="76">
        <f>Bilanca!L86</f>
        <v>1454932</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3489640.86</v>
      </c>
      <c r="I94" s="27">
        <f t="shared" si="6"/>
        <v>0</v>
      </c>
      <c r="J94" s="75">
        <f>Bilanca!K103</f>
        <v>1157872</v>
      </c>
      <c r="K94" s="76">
        <f>Bilanca!L103</f>
        <v>1297215</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1814801.24</v>
      </c>
      <c r="I99" s="27">
        <f aca="true" t="shared" si="9" ref="I99:I107">ABS(ROUND(J99,0)-J99)+ABS(ROUND(K99,0)-K99)</f>
        <v>0</v>
      </c>
      <c r="J99" s="75">
        <f>Bilanca!K108</f>
        <v>715776</v>
      </c>
      <c r="K99" s="76">
        <f>Bilanca!L108</f>
        <v>568031</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465695.85000000003</v>
      </c>
      <c r="I102" s="27">
        <f t="shared" si="9"/>
        <v>0</v>
      </c>
      <c r="J102" s="75">
        <f>Bilanca!K111</f>
        <v>96355</v>
      </c>
      <c r="K102" s="76">
        <f>Bilanca!L111</f>
        <v>182365</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379610.33999999997</v>
      </c>
      <c r="I103" s="27">
        <f t="shared" si="9"/>
        <v>0</v>
      </c>
      <c r="J103" s="75">
        <f>Bilanca!K112</f>
        <v>152709</v>
      </c>
      <c r="K103" s="76">
        <f>Bilanca!L112</f>
        <v>109729</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1093094.71</v>
      </c>
      <c r="I104" s="27">
        <f t="shared" si="9"/>
        <v>0</v>
      </c>
      <c r="J104" s="75">
        <f>Bilanca!K113</f>
        <v>187077</v>
      </c>
      <c r="K104" s="76">
        <f>Bilanca!L113</f>
        <v>437090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6252.75</v>
      </c>
      <c r="I106" s="27">
        <f t="shared" si="9"/>
        <v>0</v>
      </c>
      <c r="J106" s="75">
        <f>Bilanca!K115</f>
        <v>5955</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0</v>
      </c>
      <c r="I107" s="27">
        <f t="shared" si="9"/>
        <v>0</v>
      </c>
      <c r="J107" s="75">
        <f>Bilanca!K116</f>
        <v>0</v>
      </c>
      <c r="K107" s="76">
        <f>Bilanca!L116</f>
        <v>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77369335.3</v>
      </c>
      <c r="I108" s="27">
        <f aca="true" t="shared" si="11" ref="I108:I113">ABS(ROUND(J108,0)-J108)+ABS(ROUND(K108,0)-K108)</f>
        <v>0</v>
      </c>
      <c r="J108" s="75">
        <f>Bilanca!K117</f>
        <v>23307018</v>
      </c>
      <c r="K108" s="76">
        <f>Bilanca!L117</f>
        <v>24500386</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29137139.250000004</v>
      </c>
      <c r="I112" s="27">
        <f t="shared" si="11"/>
        <v>0</v>
      </c>
      <c r="J112" s="75">
        <f>RDG!K9</f>
        <v>7481155</v>
      </c>
      <c r="K112" s="76">
        <f>RDG!L9</f>
        <v>9384260</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29273974.240000002</v>
      </c>
      <c r="I113" s="27">
        <f t="shared" si="11"/>
        <v>0</v>
      </c>
      <c r="J113" s="75">
        <f>RDG!K10</f>
        <v>7481155</v>
      </c>
      <c r="K113" s="76">
        <f>RDG!L10</f>
        <v>9328161</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126783.74</v>
      </c>
      <c r="I114" s="27">
        <f aca="true" t="shared" si="13" ref="I114:I158">ABS(ROUND(J114,0)-J114)+ABS(ROUND(K114,0)-K114)</f>
        <v>0</v>
      </c>
      <c r="J114" s="75">
        <f>RDG!K11</f>
        <v>0</v>
      </c>
      <c r="K114" s="76">
        <f>RDG!L11</f>
        <v>56099</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24969821.279999997</v>
      </c>
      <c r="I115" s="27">
        <f t="shared" si="13"/>
        <v>0</v>
      </c>
      <c r="J115" s="75">
        <f>RDG!K12</f>
        <v>6704518</v>
      </c>
      <c r="K115" s="76">
        <f>RDG!L12</f>
        <v>7599417</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2223978.6799999997</v>
      </c>
      <c r="I117" s="27">
        <f t="shared" si="13"/>
        <v>0</v>
      </c>
      <c r="J117" s="75">
        <f>RDG!K14</f>
        <v>646195</v>
      </c>
      <c r="K117" s="76">
        <f>RDG!L14</f>
        <v>635514</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1908222.0299999998</v>
      </c>
      <c r="I118" s="27">
        <f t="shared" si="13"/>
        <v>0</v>
      </c>
      <c r="J118" s="75">
        <f>RDG!K15</f>
        <v>646195</v>
      </c>
      <c r="K118" s="76">
        <f>RDG!L15</f>
        <v>492382</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340654.16</v>
      </c>
      <c r="I120" s="27">
        <f t="shared" si="13"/>
        <v>0</v>
      </c>
      <c r="J120" s="75">
        <f>RDG!K17</f>
        <v>0</v>
      </c>
      <c r="K120" s="76">
        <f>RDG!L17</f>
        <v>143132</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11913872.400000002</v>
      </c>
      <c r="I121" s="27">
        <f t="shared" si="13"/>
        <v>0</v>
      </c>
      <c r="J121" s="75">
        <f>RDG!K18</f>
        <v>2982831</v>
      </c>
      <c r="K121" s="76">
        <f>RDG!L18</f>
        <v>3472698</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7175212.88</v>
      </c>
      <c r="I122" s="27">
        <f t="shared" si="13"/>
        <v>0</v>
      </c>
      <c r="J122" s="75">
        <f>RDG!K19</f>
        <v>1722980</v>
      </c>
      <c r="K122" s="76">
        <f>RDG!L19</f>
        <v>2103474</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3158542.1799999997</v>
      </c>
      <c r="I123" s="27">
        <f t="shared" si="13"/>
        <v>0</v>
      </c>
      <c r="J123" s="75">
        <f>RDG!K20</f>
        <v>847777</v>
      </c>
      <c r="K123" s="76">
        <f>RDG!L20</f>
        <v>870596</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1733475.9</v>
      </c>
      <c r="I124" s="27">
        <f t="shared" si="13"/>
        <v>0</v>
      </c>
      <c r="J124" s="75">
        <f>RDG!K21</f>
        <v>412074</v>
      </c>
      <c r="K124" s="76">
        <f>RDG!L21</f>
        <v>498628</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3260907.3600000003</v>
      </c>
      <c r="I125" s="27">
        <f t="shared" si="13"/>
        <v>0</v>
      </c>
      <c r="J125" s="75">
        <f>RDG!K22</f>
        <v>861868</v>
      </c>
      <c r="K125" s="76">
        <f>RDG!L22</f>
        <v>883948</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9285172.5</v>
      </c>
      <c r="I126" s="27">
        <f t="shared" si="13"/>
        <v>0</v>
      </c>
      <c r="J126" s="75">
        <f>RDG!K23</f>
        <v>2213624</v>
      </c>
      <c r="K126" s="76">
        <f>RDG!L23</f>
        <v>2607257</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136967.05</v>
      </c>
      <c r="I132" s="27">
        <f t="shared" si="13"/>
        <v>0</v>
      </c>
      <c r="J132" s="75">
        <f>RDG!K29</f>
        <v>14291</v>
      </c>
      <c r="K132" s="76">
        <f>RDG!L29</f>
        <v>45132</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139058.15</v>
      </c>
      <c r="I134" s="27">
        <f t="shared" si="13"/>
        <v>0</v>
      </c>
      <c r="J134" s="75">
        <f>RDG!K31</f>
        <v>14291</v>
      </c>
      <c r="K134" s="76">
        <f>RDG!L31</f>
        <v>45132</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386196.14999999997</v>
      </c>
      <c r="I138" s="27">
        <f t="shared" si="13"/>
        <v>0</v>
      </c>
      <c r="J138" s="75">
        <f>RDG!K35</f>
        <v>260215</v>
      </c>
      <c r="K138" s="76">
        <f>RDG!L35</f>
        <v>10840</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391834.05000000005</v>
      </c>
      <c r="I140" s="27">
        <f t="shared" si="13"/>
        <v>0</v>
      </c>
      <c r="J140" s="75">
        <f>RDG!K37</f>
        <v>260215</v>
      </c>
      <c r="K140" s="76">
        <f>RDG!L37</f>
        <v>10840</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38477175.8</v>
      </c>
      <c r="I147" s="27">
        <f t="shared" si="13"/>
        <v>0</v>
      </c>
      <c r="J147" s="75">
        <f>RDG!K44</f>
        <v>7495446</v>
      </c>
      <c r="K147" s="76">
        <f>RDG!L44</f>
        <v>9429392</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32612313.090000004</v>
      </c>
      <c r="I148" s="27">
        <f t="shared" si="13"/>
        <v>0</v>
      </c>
      <c r="J148" s="75">
        <f>RDG!K45</f>
        <v>6964733</v>
      </c>
      <c r="K148" s="76">
        <f>RDG!L45</f>
        <v>7610257</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6170094.84</v>
      </c>
      <c r="I149" s="27">
        <f t="shared" si="13"/>
        <v>0</v>
      </c>
      <c r="J149" s="75">
        <f>RDG!K46</f>
        <v>530713</v>
      </c>
      <c r="K149" s="76">
        <f>RDG!L46</f>
        <v>1819135</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6211784.67</v>
      </c>
      <c r="I150" s="27">
        <f t="shared" si="13"/>
        <v>0</v>
      </c>
      <c r="J150" s="75">
        <f>RDG!K47</f>
        <v>530713</v>
      </c>
      <c r="K150" s="76">
        <f>RDG!L47</f>
        <v>1819135</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1205165.73</v>
      </c>
      <c r="I152" s="27">
        <f t="shared" si="13"/>
        <v>0</v>
      </c>
      <c r="J152" s="75">
        <f>RDG!K49</f>
        <v>69717</v>
      </c>
      <c r="K152" s="76">
        <f>RDG!L49</f>
        <v>364203</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5123707.2</v>
      </c>
      <c r="I153" s="27">
        <f t="shared" si="13"/>
        <v>0</v>
      </c>
      <c r="J153" s="75">
        <f>RDG!K50</f>
        <v>460996</v>
      </c>
      <c r="K153" s="76">
        <f>RDG!L50</f>
        <v>1454932</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5157415.8</v>
      </c>
      <c r="I154" s="27">
        <f t="shared" si="13"/>
        <v>0</v>
      </c>
      <c r="J154" s="75">
        <f>RDG!K51</f>
        <v>460996</v>
      </c>
      <c r="K154" s="76">
        <f>RDG!L51</f>
        <v>1454932</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107721817.5</v>
      </c>
      <c r="I179" s="27">
        <f t="shared" si="17"/>
        <v>0</v>
      </c>
      <c r="J179" s="75">
        <f>PodDop!K17</f>
        <v>20164125</v>
      </c>
      <c r="K179" s="76">
        <f>PodDop!L17</f>
        <v>20176875</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2941399.6</v>
      </c>
      <c r="I180" s="27">
        <f t="shared" si="17"/>
        <v>0</v>
      </c>
      <c r="J180" s="75">
        <f>PodDop!K18</f>
        <v>534090</v>
      </c>
      <c r="K180" s="76">
        <f>PodDop!L18</f>
        <v>554575</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588878.0700000001</v>
      </c>
      <c r="I182" s="27">
        <f t="shared" si="17"/>
        <v>0</v>
      </c>
      <c r="J182" s="75">
        <f>PodDop!K20</f>
        <v>169179</v>
      </c>
      <c r="K182" s="76">
        <f>PodDop!L20</f>
        <v>78084</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116849683.94</v>
      </c>
      <c r="I188" s="27">
        <f t="shared" si="17"/>
        <v>0</v>
      </c>
      <c r="J188" s="75">
        <f>PodDop!K26</f>
        <v>20867394</v>
      </c>
      <c r="K188" s="76">
        <f>PodDop!L26</f>
        <v>20809534</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62991319.57000001</v>
      </c>
      <c r="I242" s="27">
        <f t="shared" si="19"/>
        <v>0</v>
      </c>
      <c r="J242" s="75">
        <f>PodDop!K82</f>
        <v>7481155</v>
      </c>
      <c r="K242" s="76">
        <f>PodDop!L82</f>
        <v>9328161</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65343692.5</v>
      </c>
      <c r="I251" s="27">
        <f t="shared" si="19"/>
        <v>0</v>
      </c>
      <c r="J251" s="75">
        <f>PodDop!K91</f>
        <v>7481155</v>
      </c>
      <c r="K251" s="76">
        <f>PodDop!L91</f>
        <v>9328161</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66911941.120000005</v>
      </c>
      <c r="I257" s="27">
        <f t="shared" si="19"/>
        <v>0</v>
      </c>
      <c r="J257" s="75">
        <f>PodDop!K97</f>
        <v>7481155</v>
      </c>
      <c r="K257" s="76">
        <f>PodDop!L97</f>
        <v>9328161</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67434690.66</v>
      </c>
      <c r="I259" s="27">
        <f t="shared" si="19"/>
        <v>0</v>
      </c>
      <c r="J259" s="75">
        <f>PodDop!K99</f>
        <v>7481155</v>
      </c>
      <c r="K259" s="76">
        <f>PodDop!L99</f>
        <v>9328161</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290662.89999999997</v>
      </c>
      <c r="I279" s="27">
        <f t="shared" si="19"/>
        <v>0</v>
      </c>
      <c r="J279" s="75">
        <f>PodDop!K119</f>
        <v>14291</v>
      </c>
      <c r="K279" s="76">
        <f>PodDop!L119</f>
        <v>45132</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293799.55</v>
      </c>
      <c r="I282" s="27">
        <f t="shared" si="19"/>
        <v>0</v>
      </c>
      <c r="J282" s="75">
        <f>PodDop!K122</f>
        <v>14291</v>
      </c>
      <c r="K282" s="76">
        <f>PodDop!L122</f>
        <v>45132</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809038.65</v>
      </c>
      <c r="I288" s="27">
        <f t="shared" si="19"/>
        <v>0</v>
      </c>
      <c r="J288" s="75">
        <f>PodDop!K128</f>
        <v>260215</v>
      </c>
      <c r="K288" s="76">
        <f>PodDop!L128</f>
        <v>10840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825952.3500000001</v>
      </c>
      <c r="I294" s="27">
        <f t="shared" si="19"/>
        <v>0</v>
      </c>
      <c r="J294" s="75">
        <f>PodDop!K134</f>
        <v>260215</v>
      </c>
      <c r="K294" s="76">
        <f>PodDop!L134</f>
        <v>10840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238.14000000000001</v>
      </c>
      <c r="I295" s="27">
        <f aca="true" t="shared" si="21" ref="I295:I303">ABS(ROUND(J295,0)-J295)+ABS(ROUND(K295,0)-K295)</f>
        <v>0</v>
      </c>
      <c r="J295" s="75">
        <f>PodDop!K136</f>
        <v>25</v>
      </c>
      <c r="K295" s="76">
        <f>PodDop!L136</f>
        <v>28</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238.95000000000002</v>
      </c>
      <c r="I296" s="27">
        <f t="shared" si="21"/>
        <v>0</v>
      </c>
      <c r="J296" s="75">
        <f>PodDop!K137</f>
        <v>25</v>
      </c>
      <c r="K296" s="76">
        <f>PodDop!L137</f>
        <v>28</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515351.43000000005</v>
      </c>
      <c r="I298" s="27">
        <f t="shared" si="21"/>
        <v>0</v>
      </c>
      <c r="J298" s="75">
        <f>PodDop!K139</f>
        <v>50747</v>
      </c>
      <c r="K298" s="76">
        <f>PodDop!L139</f>
        <v>61386</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18666.72</v>
      </c>
      <c r="I299" s="27">
        <f t="shared" si="21"/>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538035.5499999999</v>
      </c>
      <c r="I300" s="27">
        <f t="shared" si="21"/>
        <v>0</v>
      </c>
      <c r="J300" s="75">
        <f>PodDop!K141</f>
        <v>52885</v>
      </c>
      <c r="K300" s="76">
        <f>PodDop!L141</f>
        <v>63530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01.01.2015. do 31.12.2015.</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02678535; SPLITSKA OBALA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34" activePane="bottomLeft" state="frozen"/>
      <selection pane="topLeft" activeCell="A1" sqref="A1"/>
      <selection pane="bottomLeft" activeCell="C92" sqref="C92:J9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1</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1</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INFO@SPLITSKAOBALA.HR</v>
      </c>
      <c r="N59" s="201" t="str">
        <f>UPPER(TRIM(Opci!C69))</f>
        <v>IVANA.KAPOVIC@SPLITSKAOBALA.HR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C:\Users\Ivana\Desktop\Završni prepravljni 2015\[GFI-POD ver. 2.0.4.xls]Opci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Upozorenje!!!</v>
      </c>
      <c r="C84" s="629" t="s">
        <v>2860</v>
      </c>
      <c r="D84" s="629"/>
      <c r="E84" s="629"/>
      <c r="F84" s="629"/>
      <c r="G84" s="629"/>
      <c r="H84" s="629"/>
      <c r="I84" s="629"/>
      <c r="J84" s="629"/>
      <c r="L84" s="35">
        <f>IF(OR(M84=1,N84=1),1,0)</f>
        <v>1</v>
      </c>
      <c r="M84" s="35">
        <f>IF(AND(Opci!C45&lt;&gt;2,Opci!C57&gt;0,PodDop!K100=0),1,0)</f>
        <v>1</v>
      </c>
      <c r="N84" s="35">
        <f>IF(AND(Opci!C45&lt;&gt;2,Opci!E57&gt;0,PodDop!L100=0),1,0)</f>
        <v>1</v>
      </c>
      <c r="O84" s="35"/>
    </row>
    <row r="85" spans="1:15" ht="34.5" customHeight="1">
      <c r="A85" s="206" t="s">
        <v>2401</v>
      </c>
      <c r="B85" s="212" t="str">
        <f t="shared" si="8"/>
        <v>Upozorenje!!!</v>
      </c>
      <c r="C85" s="629" t="s">
        <v>1561</v>
      </c>
      <c r="D85" s="629"/>
      <c r="E85" s="629"/>
      <c r="F85" s="629"/>
      <c r="G85" s="629"/>
      <c r="H85" s="629"/>
      <c r="I85" s="629"/>
      <c r="J85" s="629"/>
      <c r="L85" s="35">
        <f>IF(OR(M85=1,N85=1),1,0)</f>
        <v>1</v>
      </c>
      <c r="M85" s="35">
        <f>IF(AND(Opci!C45&lt;&gt;2,Opci!C57&gt;0,PodDop!K101=0),1,0)</f>
        <v>1</v>
      </c>
      <c r="N85" s="35">
        <f>IF(AND(Opci!C45&lt;&gt;2,Opci!E57&gt;0,PodDop!L101=0),1,0)</f>
        <v>1</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8" t="s">
        <v>2847</v>
      </c>
      <c r="D92" s="630"/>
      <c r="E92" s="630"/>
      <c r="F92" s="630"/>
      <c r="G92" s="630"/>
      <c r="H92" s="630"/>
      <c r="I92" s="630"/>
      <c r="J92" s="630"/>
      <c r="L92" s="35">
        <f>IF(OR(M92=1,N92=1,S92=1,T92=1),1,0)</f>
        <v>1</v>
      </c>
      <c r="M92" s="35">
        <f>IF(OR(Opci!C53&gt;1000,Opci!E53&gt;1000,Opci!C55&gt;1000,Opci!E55&gt;1000),1,0)</f>
        <v>0</v>
      </c>
      <c r="N92" s="35">
        <f>IF(MAX(O92:R92)&gt;15,1,0)</f>
        <v>1</v>
      </c>
      <c r="O92" s="35">
        <f>IF(Opci!C53+Opci!C55&gt;20,ABS(Opci!C53-Opci!C55)/(Opci!C53+Opci!C55)*200,0)</f>
        <v>4.081632653061225</v>
      </c>
      <c r="P92">
        <f>IF(Opci!E53+Opci!E55&gt;20,ABS(Opci!E53-Opci!E55)/(Opci!E53+Opci!E55)*200,0)</f>
        <v>3.508771929824561</v>
      </c>
      <c r="Q92">
        <f>IF(Opci!C53+Opci!E53&gt;20,ABS(Opci!C53-Opci!E53)/(Opci!C53+Opci!E53)*200,0)</f>
        <v>11.320754716981133</v>
      </c>
      <c r="R92">
        <f>IF(Opci!C55+Opci!E55,ABS(Opci!C55-Opci!E55)/(Opci!C55+Opci!E55)*200,0)</f>
        <v>18.867924528301888</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7"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0"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0</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SPLITSKA OBALA d.o.o.</v>
      </c>
      <c r="B21" s="250"/>
      <c r="C21" s="250"/>
      <c r="D21" s="250"/>
      <c r="E21" s="250"/>
      <c r="F21" s="250"/>
      <c r="G21" s="250"/>
      <c r="H21" s="251"/>
      <c r="I21" s="252"/>
      <c r="J21" s="253"/>
    </row>
    <row r="22" spans="1:10" ht="13.5" customHeight="1">
      <c r="A22" s="255" t="str">
        <f>IF(Opci!C29&lt;&gt;"",MID(Opci!C29,1,30),"")</f>
        <v>Ulica kralja Zvonimira 14</v>
      </c>
      <c r="B22" s="249"/>
      <c r="C22" s="249"/>
      <c r="D22" s="249"/>
      <c r="E22" s="249"/>
      <c r="F22" s="249"/>
      <c r="G22" s="249"/>
      <c r="H22" s="80"/>
      <c r="I22" s="247"/>
      <c r="J22" s="246"/>
    </row>
    <row r="23" spans="1:10" ht="13.5" customHeight="1">
      <c r="A23" s="255" t="str">
        <f>IF(AND(Opci!C27&lt;&gt;"",Opci!F27&lt;&gt;""),MID(Opci!C27&amp;" "&amp;Opci!F27,1,30),"")</f>
        <v>21000 SPLIT</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8 9 8 0 1 2 6 8 3 2 0</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2015.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60"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K72" sqref="K72"/>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267853.5</v>
      </c>
      <c r="T2" s="192">
        <f>INT(VALUE(C21))/50</f>
        <v>1205297.72</v>
      </c>
      <c r="U2" s="192">
        <f>INT(VALUE(C23))/100</f>
        <v>898012683.2</v>
      </c>
      <c r="V2" s="192">
        <f>LEN(Skriveni!B9)</f>
        <v>21</v>
      </c>
      <c r="W2" s="192">
        <f>INT(VALUE(C27))/100</f>
        <v>210</v>
      </c>
      <c r="X2" s="192">
        <f>LEN(Skriveni!B11)</f>
        <v>5</v>
      </c>
      <c r="Y2" s="192">
        <f>LEN(Skriveni!B12)</f>
        <v>25</v>
      </c>
      <c r="Z2" s="192">
        <f>INT(VALUE(C35))</f>
        <v>409</v>
      </c>
      <c r="AA2" s="192">
        <f>INT(VALUE(C39))</f>
        <v>6820</v>
      </c>
      <c r="AB2" s="192">
        <f>IF(C41="DA",1,0)</f>
        <v>0</v>
      </c>
      <c r="AC2" s="192">
        <f>IF(C43="DA",1,0)</f>
        <v>0</v>
      </c>
      <c r="AD2" s="192">
        <f>INT(VALUE(C45))</f>
        <v>1</v>
      </c>
      <c r="AE2" s="192">
        <f>INT(VALUE(C47))</f>
        <v>1</v>
      </c>
      <c r="AF2" s="192">
        <f>INT(VALUE(C49))</f>
        <v>11</v>
      </c>
      <c r="AG2" s="192">
        <f>C51*2+E51</f>
        <v>200</v>
      </c>
      <c r="AH2" s="192">
        <f>C53+2*E53+3*C55+4*E55</f>
        <v>269</v>
      </c>
      <c r="AI2" s="192">
        <f>C57*2+E57</f>
        <v>36</v>
      </c>
      <c r="AJ2" s="192">
        <f>LEN(Skriveni!B43)</f>
        <v>16</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42005</v>
      </c>
      <c r="F5" s="402"/>
      <c r="G5" s="146" t="s">
        <v>2278</v>
      </c>
      <c r="H5" s="401">
        <v>42369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2015</v>
      </c>
      <c r="H14" s="450" t="s">
        <v>1010</v>
      </c>
      <c r="I14" s="451"/>
      <c r="J14" s="451"/>
      <c r="K14" s="97"/>
      <c r="L14" s="162"/>
      <c r="M14" s="162"/>
      <c r="N14" s="162"/>
    </row>
    <row r="15" spans="1:14" ht="19.5" customHeight="1">
      <c r="A15" s="452">
        <f>SUM(Skriveni!H2:H392)+SUM(P2:AK2)+SUM(Skriveni!AC2:AC101)</f>
        <v>1865113746.82</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21000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2980</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2979</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409</v>
      </c>
      <c r="D35" s="417" t="str">
        <f>IF(C35&lt;&gt;"",LOOKUP(C35,P29:P584,Q29:Q584),"Nije upisana općina!")</f>
        <v>Split</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17</v>
      </c>
      <c r="D37" s="417" t="str">
        <f>IF(C37&lt;&gt;"",LOOKUP(C37,T29:T49,U29:U49),"")</f>
        <v>SPLITSKO-DALMATINSKA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1666</v>
      </c>
      <c r="D39" s="422" t="str">
        <f>IF(C39&lt;&gt;"",LOOKUP(C39,Djel!A5:A621,Djel!B5:B621),"Djelatnost nije upisana!")</f>
        <v>Iznajmljivanje i upravljanje vlastitim nekretninama ili nekretninama uzetim u zakup (leasing)</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DA</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50</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1</v>
      </c>
      <c r="D45" s="468" t="str">
        <f>IF(C45&lt;&gt;"",LOOKUP(C45,T52:T54,U52:U54),"Svrha predaje još nije odabrana")</f>
        <v>Predaja samo u statističke svrhe</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25</v>
      </c>
      <c r="D53" s="171"/>
      <c r="E53" s="190">
        <v>28</v>
      </c>
      <c r="F53" s="171"/>
      <c r="G53" s="97"/>
      <c r="H53" s="124" t="s">
        <v>50</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24</v>
      </c>
      <c r="D55" s="171"/>
      <c r="E55" s="191">
        <v>29</v>
      </c>
      <c r="F55" s="171"/>
      <c r="G55" s="97"/>
      <c r="H55" s="124" t="s">
        <v>50</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2982</v>
      </c>
      <c r="D67" s="428"/>
      <c r="E67" s="429"/>
      <c r="F67" s="97"/>
      <c r="G67" s="167" t="s">
        <v>1484</v>
      </c>
      <c r="H67" s="427" t="s">
        <v>2983</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2984</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2985</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84" activePane="bottomLeft" state="frozen"/>
      <selection pane="topLeft" activeCell="A1" sqref="A1"/>
      <selection pane="bottomLeft" activeCell="L113" sqref="L11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31.12.2015.</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89801268320; SPLITSKA OBALA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19762836</v>
      </c>
      <c r="L11" s="59">
        <f>L12+L19+L29+L38+L42</f>
        <v>18914926</v>
      </c>
    </row>
    <row r="12" spans="1:12" ht="13.5" customHeight="1">
      <c r="A12" s="483" t="s">
        <v>753</v>
      </c>
      <c r="B12" s="484"/>
      <c r="C12" s="484"/>
      <c r="D12" s="484"/>
      <c r="E12" s="484"/>
      <c r="F12" s="484"/>
      <c r="G12" s="484"/>
      <c r="H12" s="485"/>
      <c r="I12" s="4">
        <v>3</v>
      </c>
      <c r="J12" s="8"/>
      <c r="K12" s="59">
        <f>SUM(K13:K18)</f>
        <v>0</v>
      </c>
      <c r="L12" s="59">
        <f>SUM(L13:L18)</f>
        <v>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c r="L14" s="60"/>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c r="K19" s="59">
        <f>SUM(K20:K28)</f>
        <v>19762836</v>
      </c>
      <c r="L19" s="59">
        <f>SUM(L20:L28)</f>
        <v>18914926</v>
      </c>
    </row>
    <row r="20" spans="1:12" ht="13.5" customHeight="1">
      <c r="A20" s="477" t="s">
        <v>1436</v>
      </c>
      <c r="B20" s="478"/>
      <c r="C20" s="478"/>
      <c r="D20" s="478"/>
      <c r="E20" s="478"/>
      <c r="F20" s="478"/>
      <c r="G20" s="478"/>
      <c r="H20" s="479"/>
      <c r="I20" s="4">
        <v>11</v>
      </c>
      <c r="J20" s="8"/>
      <c r="K20" s="60"/>
      <c r="L20" s="60"/>
    </row>
    <row r="21" spans="1:12" ht="13.5" customHeight="1">
      <c r="A21" s="477" t="s">
        <v>186</v>
      </c>
      <c r="B21" s="478"/>
      <c r="C21" s="478"/>
      <c r="D21" s="478"/>
      <c r="E21" s="478"/>
      <c r="F21" s="478"/>
      <c r="G21" s="478"/>
      <c r="H21" s="479"/>
      <c r="I21" s="4">
        <v>12</v>
      </c>
      <c r="J21" s="8"/>
      <c r="K21" s="60">
        <v>19225844</v>
      </c>
      <c r="L21" s="60">
        <v>18431763</v>
      </c>
    </row>
    <row r="22" spans="1:12" ht="13.5" customHeight="1">
      <c r="A22" s="477" t="s">
        <v>1437</v>
      </c>
      <c r="B22" s="478"/>
      <c r="C22" s="478"/>
      <c r="D22" s="478"/>
      <c r="E22" s="478"/>
      <c r="F22" s="478"/>
      <c r="G22" s="478"/>
      <c r="H22" s="479"/>
      <c r="I22" s="4">
        <v>13</v>
      </c>
      <c r="J22" s="8"/>
      <c r="K22" s="60">
        <v>458361</v>
      </c>
      <c r="L22" s="60">
        <v>427959</v>
      </c>
    </row>
    <row r="23" spans="1:12" ht="13.5" customHeight="1">
      <c r="A23" s="477" t="s">
        <v>1273</v>
      </c>
      <c r="B23" s="478"/>
      <c r="C23" s="478"/>
      <c r="D23" s="478"/>
      <c r="E23" s="478"/>
      <c r="F23" s="478"/>
      <c r="G23" s="478"/>
      <c r="H23" s="479"/>
      <c r="I23" s="4">
        <v>14</v>
      </c>
      <c r="J23" s="8"/>
      <c r="K23" s="60"/>
      <c r="L23" s="60"/>
    </row>
    <row r="24" spans="1:12" ht="13.5" customHeight="1">
      <c r="A24" s="477" t="s">
        <v>1274</v>
      </c>
      <c r="B24" s="478"/>
      <c r="C24" s="478"/>
      <c r="D24" s="478"/>
      <c r="E24" s="478"/>
      <c r="F24" s="478"/>
      <c r="G24" s="478"/>
      <c r="H24" s="479"/>
      <c r="I24" s="4">
        <v>15</v>
      </c>
      <c r="J24" s="8"/>
      <c r="K24" s="60">
        <v>78631</v>
      </c>
      <c r="L24" s="60">
        <v>55204</v>
      </c>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c r="L26" s="60"/>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3539882</v>
      </c>
      <c r="L43" s="59">
        <f>L44+L52+L59+L67</f>
        <v>5585460</v>
      </c>
    </row>
    <row r="44" spans="1:12" ht="13.5" customHeight="1">
      <c r="A44" s="483" t="s">
        <v>319</v>
      </c>
      <c r="B44" s="484"/>
      <c r="C44" s="484"/>
      <c r="D44" s="484"/>
      <c r="E44" s="484"/>
      <c r="F44" s="484"/>
      <c r="G44" s="484"/>
      <c r="H44" s="485"/>
      <c r="I44" s="4">
        <v>35</v>
      </c>
      <c r="J44" s="8"/>
      <c r="K44" s="59">
        <f>SUM(K45:K51)</f>
        <v>0</v>
      </c>
      <c r="L44" s="59">
        <f>SUM(L45:L51)</f>
        <v>0</v>
      </c>
    </row>
    <row r="45" spans="1:12" ht="13.5" customHeight="1">
      <c r="A45" s="477" t="s">
        <v>1485</v>
      </c>
      <c r="B45" s="478"/>
      <c r="C45" s="478"/>
      <c r="D45" s="478"/>
      <c r="E45" s="478"/>
      <c r="F45" s="478"/>
      <c r="G45" s="478"/>
      <c r="H45" s="479"/>
      <c r="I45" s="4">
        <v>36</v>
      </c>
      <c r="J45" s="8"/>
      <c r="K45" s="60"/>
      <c r="L45" s="60"/>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1185574</v>
      </c>
      <c r="L52" s="59">
        <f>SUM(L53:L58)</f>
        <v>1090688</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1161738</v>
      </c>
      <c r="L54" s="60">
        <v>1081338</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19476</v>
      </c>
      <c r="L57" s="60">
        <v>4990</v>
      </c>
    </row>
    <row r="58" spans="1:12" ht="13.5" customHeight="1">
      <c r="A58" s="477" t="s">
        <v>664</v>
      </c>
      <c r="B58" s="478"/>
      <c r="C58" s="478"/>
      <c r="D58" s="478"/>
      <c r="E58" s="478"/>
      <c r="F58" s="478"/>
      <c r="G58" s="478"/>
      <c r="H58" s="479"/>
      <c r="I58" s="4">
        <v>49</v>
      </c>
      <c r="J58" s="8"/>
      <c r="K58" s="60">
        <v>4360</v>
      </c>
      <c r="L58" s="60">
        <v>4360</v>
      </c>
    </row>
    <row r="59" spans="1:12" ht="13.5" customHeight="1">
      <c r="A59" s="483" t="s">
        <v>321</v>
      </c>
      <c r="B59" s="484"/>
      <c r="C59" s="484"/>
      <c r="D59" s="484"/>
      <c r="E59" s="484"/>
      <c r="F59" s="484"/>
      <c r="G59" s="484"/>
      <c r="H59" s="485"/>
      <c r="I59" s="4">
        <v>50</v>
      </c>
      <c r="J59" s="8"/>
      <c r="K59" s="59">
        <f>SUM(K60:K66)</f>
        <v>861127</v>
      </c>
      <c r="L59" s="59">
        <f>SUM(L60:L66)</f>
        <v>3850888</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v>861127</v>
      </c>
      <c r="L65" s="60">
        <v>3850888</v>
      </c>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1493181</v>
      </c>
      <c r="L67" s="60">
        <v>643884</v>
      </c>
    </row>
    <row r="68" spans="1:12" ht="13.5" customHeight="1">
      <c r="A68" s="499" t="s">
        <v>2848</v>
      </c>
      <c r="B68" s="500"/>
      <c r="C68" s="500"/>
      <c r="D68" s="500"/>
      <c r="E68" s="500"/>
      <c r="F68" s="500"/>
      <c r="G68" s="500"/>
      <c r="H68" s="501"/>
      <c r="I68" s="4">
        <v>59</v>
      </c>
      <c r="J68" s="8"/>
      <c r="K68" s="60">
        <v>4300</v>
      </c>
      <c r="L68" s="60"/>
    </row>
    <row r="69" spans="1:12" ht="13.5" customHeight="1">
      <c r="A69" s="499" t="s">
        <v>2298</v>
      </c>
      <c r="B69" s="500"/>
      <c r="C69" s="500"/>
      <c r="D69" s="500"/>
      <c r="E69" s="500"/>
      <c r="F69" s="500"/>
      <c r="G69" s="500"/>
      <c r="H69" s="501"/>
      <c r="I69" s="4">
        <v>60</v>
      </c>
      <c r="J69" s="8"/>
      <c r="K69" s="59">
        <f>K10+K11+K43+K68</f>
        <v>23307018</v>
      </c>
      <c r="L69" s="59">
        <f>L10+L11+L43+L68</f>
        <v>24500386</v>
      </c>
    </row>
    <row r="70" spans="1:12" ht="13.5" customHeight="1">
      <c r="A70" s="519" t="s">
        <v>309</v>
      </c>
      <c r="B70" s="520"/>
      <c r="C70" s="520"/>
      <c r="D70" s="520"/>
      <c r="E70" s="520"/>
      <c r="F70" s="520"/>
      <c r="G70" s="520"/>
      <c r="H70" s="521"/>
      <c r="I70" s="5">
        <v>61</v>
      </c>
      <c r="J70" s="9"/>
      <c r="K70" s="61"/>
      <c r="L70" s="61"/>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22149146</v>
      </c>
      <c r="L72" s="79">
        <f>L73+L74+L75+L81+L82+L85+L88</f>
        <v>23203171</v>
      </c>
    </row>
    <row r="73" spans="1:12" ht="13.5" customHeight="1">
      <c r="A73" s="483" t="s">
        <v>2741</v>
      </c>
      <c r="B73" s="484"/>
      <c r="C73" s="484"/>
      <c r="D73" s="484"/>
      <c r="E73" s="484"/>
      <c r="F73" s="484"/>
      <c r="G73" s="484"/>
      <c r="H73" s="485"/>
      <c r="I73" s="4">
        <v>63</v>
      </c>
      <c r="J73" s="8"/>
      <c r="K73" s="60">
        <v>20000</v>
      </c>
      <c r="L73" s="60">
        <v>20000</v>
      </c>
    </row>
    <row r="74" spans="1:12" ht="13.5" customHeight="1">
      <c r="A74" s="483" t="s">
        <v>2742</v>
      </c>
      <c r="B74" s="484"/>
      <c r="C74" s="484"/>
      <c r="D74" s="484"/>
      <c r="E74" s="484"/>
      <c r="F74" s="484"/>
      <c r="G74" s="484"/>
      <c r="H74" s="485"/>
      <c r="I74" s="4">
        <v>64</v>
      </c>
      <c r="J74" s="8"/>
      <c r="K74" s="60">
        <v>21477284</v>
      </c>
      <c r="L74" s="60">
        <v>21076377</v>
      </c>
    </row>
    <row r="75" spans="1:12" ht="13.5" customHeight="1">
      <c r="A75" s="483" t="s">
        <v>2743</v>
      </c>
      <c r="B75" s="484"/>
      <c r="C75" s="484"/>
      <c r="D75" s="484"/>
      <c r="E75" s="484"/>
      <c r="F75" s="484"/>
      <c r="G75" s="484"/>
      <c r="H75" s="485"/>
      <c r="I75" s="4">
        <v>65</v>
      </c>
      <c r="J75" s="8"/>
      <c r="K75" s="59">
        <f>K76+K77-K78+K79+K80</f>
        <v>0</v>
      </c>
      <c r="L75" s="59">
        <f>L76+L77-L78+L79+L80</f>
        <v>0</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190867</v>
      </c>
      <c r="L82" s="59">
        <f>L83-L84</f>
        <v>651862</v>
      </c>
    </row>
    <row r="83" spans="1:12" ht="13.5" customHeight="1">
      <c r="A83" s="486" t="s">
        <v>2824</v>
      </c>
      <c r="B83" s="487"/>
      <c r="C83" s="487"/>
      <c r="D83" s="487"/>
      <c r="E83" s="487"/>
      <c r="F83" s="487"/>
      <c r="G83" s="487"/>
      <c r="H83" s="488"/>
      <c r="I83" s="4">
        <v>73</v>
      </c>
      <c r="J83" s="8"/>
      <c r="K83" s="60">
        <v>190867</v>
      </c>
      <c r="L83" s="60">
        <v>651862</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460995</v>
      </c>
      <c r="L85" s="59">
        <f>L86-L87</f>
        <v>1454932</v>
      </c>
    </row>
    <row r="86" spans="1:12" ht="13.5" customHeight="1">
      <c r="A86" s="486" t="s">
        <v>2826</v>
      </c>
      <c r="B86" s="487"/>
      <c r="C86" s="487"/>
      <c r="D86" s="487"/>
      <c r="E86" s="487"/>
      <c r="F86" s="487"/>
      <c r="G86" s="487"/>
      <c r="H86" s="488"/>
      <c r="I86" s="4">
        <v>76</v>
      </c>
      <c r="J86" s="8"/>
      <c r="K86" s="60">
        <v>460995</v>
      </c>
      <c r="L86" s="60">
        <v>1454932</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1157872</v>
      </c>
      <c r="L103" s="59">
        <f>SUM(L104:L115)</f>
        <v>1297215</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c r="L107" s="60"/>
    </row>
    <row r="108" spans="1:12" ht="13.5" customHeight="1">
      <c r="A108" s="477" t="s">
        <v>180</v>
      </c>
      <c r="B108" s="478"/>
      <c r="C108" s="478"/>
      <c r="D108" s="478"/>
      <c r="E108" s="478"/>
      <c r="F108" s="478"/>
      <c r="G108" s="478"/>
      <c r="H108" s="479"/>
      <c r="I108" s="4">
        <v>98</v>
      </c>
      <c r="J108" s="8"/>
      <c r="K108" s="60">
        <v>715776</v>
      </c>
      <c r="L108" s="60">
        <v>568031</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96355</v>
      </c>
      <c r="L111" s="60">
        <v>182365</v>
      </c>
    </row>
    <row r="112" spans="1:12" ht="13.5" customHeight="1">
      <c r="A112" s="477" t="s">
        <v>314</v>
      </c>
      <c r="B112" s="478"/>
      <c r="C112" s="478"/>
      <c r="D112" s="478"/>
      <c r="E112" s="478"/>
      <c r="F112" s="478"/>
      <c r="G112" s="478"/>
      <c r="H112" s="479"/>
      <c r="I112" s="4">
        <v>102</v>
      </c>
      <c r="J112" s="8"/>
      <c r="K112" s="60">
        <v>152709</v>
      </c>
      <c r="L112" s="60">
        <v>109729</v>
      </c>
    </row>
    <row r="113" spans="1:12" ht="13.5" customHeight="1">
      <c r="A113" s="477" t="s">
        <v>317</v>
      </c>
      <c r="B113" s="478"/>
      <c r="C113" s="478"/>
      <c r="D113" s="478"/>
      <c r="E113" s="478"/>
      <c r="F113" s="478"/>
      <c r="G113" s="478"/>
      <c r="H113" s="479"/>
      <c r="I113" s="4">
        <v>103</v>
      </c>
      <c r="J113" s="8"/>
      <c r="K113" s="60">
        <v>187077</v>
      </c>
      <c r="L113" s="60">
        <v>437090</v>
      </c>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v>5955</v>
      </c>
      <c r="L115" s="60"/>
    </row>
    <row r="116" spans="1:12" ht="13.5" customHeight="1">
      <c r="A116" s="499" t="s">
        <v>1525</v>
      </c>
      <c r="B116" s="500"/>
      <c r="C116" s="500"/>
      <c r="D116" s="500"/>
      <c r="E116" s="500"/>
      <c r="F116" s="500"/>
      <c r="G116" s="500"/>
      <c r="H116" s="501"/>
      <c r="I116" s="4">
        <v>106</v>
      </c>
      <c r="J116" s="8"/>
      <c r="K116" s="60"/>
      <c r="L116" s="60"/>
    </row>
    <row r="117" spans="1:12" ht="13.5" customHeight="1">
      <c r="A117" s="499" t="s">
        <v>1271</v>
      </c>
      <c r="B117" s="500"/>
      <c r="C117" s="500"/>
      <c r="D117" s="500"/>
      <c r="E117" s="500"/>
      <c r="F117" s="500"/>
      <c r="G117" s="500"/>
      <c r="H117" s="501"/>
      <c r="I117" s="4">
        <v>107</v>
      </c>
      <c r="J117" s="8"/>
      <c r="K117" s="59">
        <f>K72+K89+K93+K103+K116</f>
        <v>23307018</v>
      </c>
      <c r="L117" s="59">
        <f>L72+L89+L93+L103+L116</f>
        <v>24500386</v>
      </c>
    </row>
    <row r="118" spans="1:12" ht="13.5" customHeight="1">
      <c r="A118" s="502" t="s">
        <v>2849</v>
      </c>
      <c r="B118" s="503"/>
      <c r="C118" s="503"/>
      <c r="D118" s="503"/>
      <c r="E118" s="503"/>
      <c r="F118" s="503"/>
      <c r="G118" s="503"/>
      <c r="H118" s="504"/>
      <c r="I118" s="5">
        <v>108</v>
      </c>
      <c r="J118" s="8"/>
      <c r="K118" s="61"/>
      <c r="L118" s="61"/>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6" activePane="bottomLeft" state="frozen"/>
      <selection pane="topLeft" activeCell="A1" sqref="A1"/>
      <selection pane="bottomLeft" activeCell="L24" sqref="L24"/>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01.01.2015. do 31.12.2015.</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89801268320; SPLITSKA OBALA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7481155</v>
      </c>
      <c r="L9" s="79">
        <f>SUM(L10:L11)</f>
        <v>9384260</v>
      </c>
    </row>
    <row r="10" spans="1:12" s="3" customFormat="1" ht="13.5" customHeight="1">
      <c r="A10" s="499" t="s">
        <v>1722</v>
      </c>
      <c r="B10" s="500"/>
      <c r="C10" s="500"/>
      <c r="D10" s="500"/>
      <c r="E10" s="500"/>
      <c r="F10" s="500"/>
      <c r="G10" s="500"/>
      <c r="H10" s="501"/>
      <c r="I10" s="4">
        <v>112</v>
      </c>
      <c r="J10" s="8"/>
      <c r="K10" s="60">
        <v>7481155</v>
      </c>
      <c r="L10" s="60">
        <v>9328161</v>
      </c>
    </row>
    <row r="11" spans="1:12" s="3" customFormat="1" ht="13.5" customHeight="1">
      <c r="A11" s="499" t="s">
        <v>322</v>
      </c>
      <c r="B11" s="500"/>
      <c r="C11" s="500"/>
      <c r="D11" s="500"/>
      <c r="E11" s="500"/>
      <c r="F11" s="500"/>
      <c r="G11" s="500"/>
      <c r="H11" s="501"/>
      <c r="I11" s="4">
        <v>113</v>
      </c>
      <c r="J11" s="8"/>
      <c r="K11" s="60"/>
      <c r="L11" s="60">
        <v>56099</v>
      </c>
    </row>
    <row r="12" spans="1:12" s="3" customFormat="1" ht="13.5" customHeight="1">
      <c r="A12" s="499" t="s">
        <v>669</v>
      </c>
      <c r="B12" s="500"/>
      <c r="C12" s="500"/>
      <c r="D12" s="500"/>
      <c r="E12" s="500"/>
      <c r="F12" s="500"/>
      <c r="G12" s="500"/>
      <c r="H12" s="501"/>
      <c r="I12" s="4">
        <v>114</v>
      </c>
      <c r="J12" s="8"/>
      <c r="K12" s="59">
        <f>K13+K14+K18+K22+K23+K24+K27+K28</f>
        <v>6704518</v>
      </c>
      <c r="L12" s="59">
        <f>L13+L14+L18+L22+L23+L24+L27+L28</f>
        <v>7599417</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646195</v>
      </c>
      <c r="L14" s="59">
        <f>SUM(L15:L17)</f>
        <v>635514</v>
      </c>
    </row>
    <row r="15" spans="1:12" s="3" customFormat="1" ht="13.5" customHeight="1">
      <c r="A15" s="477" t="s">
        <v>2463</v>
      </c>
      <c r="B15" s="478"/>
      <c r="C15" s="478"/>
      <c r="D15" s="478"/>
      <c r="E15" s="478"/>
      <c r="F15" s="478"/>
      <c r="G15" s="478"/>
      <c r="H15" s="479"/>
      <c r="I15" s="4">
        <v>117</v>
      </c>
      <c r="J15" s="8"/>
      <c r="K15" s="60">
        <v>646195</v>
      </c>
      <c r="L15" s="60">
        <v>492382</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c r="L17" s="60">
        <v>143132</v>
      </c>
    </row>
    <row r="18" spans="1:12" s="3" customFormat="1" ht="13.5" customHeight="1">
      <c r="A18" s="499" t="s">
        <v>1269</v>
      </c>
      <c r="B18" s="500"/>
      <c r="C18" s="500"/>
      <c r="D18" s="500"/>
      <c r="E18" s="500"/>
      <c r="F18" s="500"/>
      <c r="G18" s="500"/>
      <c r="H18" s="501"/>
      <c r="I18" s="4">
        <v>120</v>
      </c>
      <c r="J18" s="8"/>
      <c r="K18" s="59">
        <f>SUM(K19:K21)</f>
        <v>2982831</v>
      </c>
      <c r="L18" s="59">
        <f>SUM(L19:L21)</f>
        <v>3472698</v>
      </c>
    </row>
    <row r="19" spans="1:12" s="3" customFormat="1" ht="13.5" customHeight="1">
      <c r="A19" s="477" t="s">
        <v>2664</v>
      </c>
      <c r="B19" s="478"/>
      <c r="C19" s="478"/>
      <c r="D19" s="478"/>
      <c r="E19" s="478"/>
      <c r="F19" s="478"/>
      <c r="G19" s="478"/>
      <c r="H19" s="479"/>
      <c r="I19" s="4">
        <v>121</v>
      </c>
      <c r="J19" s="8"/>
      <c r="K19" s="60">
        <v>1722980</v>
      </c>
      <c r="L19" s="60">
        <v>2103474</v>
      </c>
    </row>
    <row r="20" spans="1:12" s="3" customFormat="1" ht="13.5" customHeight="1">
      <c r="A20" s="477" t="s">
        <v>2665</v>
      </c>
      <c r="B20" s="478"/>
      <c r="C20" s="478"/>
      <c r="D20" s="478"/>
      <c r="E20" s="478"/>
      <c r="F20" s="478"/>
      <c r="G20" s="478"/>
      <c r="H20" s="479"/>
      <c r="I20" s="4">
        <v>122</v>
      </c>
      <c r="J20" s="8"/>
      <c r="K20" s="60">
        <v>847777</v>
      </c>
      <c r="L20" s="60">
        <v>870596</v>
      </c>
    </row>
    <row r="21" spans="1:12" s="3" customFormat="1" ht="13.5" customHeight="1">
      <c r="A21" s="477" t="s">
        <v>2666</v>
      </c>
      <c r="B21" s="478"/>
      <c r="C21" s="478"/>
      <c r="D21" s="478"/>
      <c r="E21" s="478"/>
      <c r="F21" s="478"/>
      <c r="G21" s="478"/>
      <c r="H21" s="479"/>
      <c r="I21" s="4">
        <v>123</v>
      </c>
      <c r="J21" s="8"/>
      <c r="K21" s="60">
        <v>412074</v>
      </c>
      <c r="L21" s="60">
        <v>498628</v>
      </c>
    </row>
    <row r="22" spans="1:12" s="3" customFormat="1" ht="13.5" customHeight="1">
      <c r="A22" s="499" t="s">
        <v>324</v>
      </c>
      <c r="B22" s="500"/>
      <c r="C22" s="500"/>
      <c r="D22" s="500"/>
      <c r="E22" s="500"/>
      <c r="F22" s="500"/>
      <c r="G22" s="500"/>
      <c r="H22" s="501"/>
      <c r="I22" s="4">
        <v>124</v>
      </c>
      <c r="J22" s="8"/>
      <c r="K22" s="60">
        <v>861868</v>
      </c>
      <c r="L22" s="60">
        <v>883948</v>
      </c>
    </row>
    <row r="23" spans="1:12" s="3" customFormat="1" ht="13.5" customHeight="1">
      <c r="A23" s="499" t="s">
        <v>325</v>
      </c>
      <c r="B23" s="500"/>
      <c r="C23" s="500"/>
      <c r="D23" s="500"/>
      <c r="E23" s="500"/>
      <c r="F23" s="500"/>
      <c r="G23" s="500"/>
      <c r="H23" s="501"/>
      <c r="I23" s="4">
        <v>125</v>
      </c>
      <c r="J23" s="8"/>
      <c r="K23" s="60">
        <v>2213624</v>
      </c>
      <c r="L23" s="60">
        <v>2607257</v>
      </c>
    </row>
    <row r="24" spans="1:12" s="3" customFormat="1" ht="13.5" customHeight="1">
      <c r="A24" s="499" t="s">
        <v>1270</v>
      </c>
      <c r="B24" s="500"/>
      <c r="C24" s="500"/>
      <c r="D24" s="500"/>
      <c r="E24" s="500"/>
      <c r="F24" s="500"/>
      <c r="G24" s="500"/>
      <c r="H24" s="501"/>
      <c r="I24" s="4">
        <v>126</v>
      </c>
      <c r="J24" s="8"/>
      <c r="K24" s="59">
        <f>SUM(K25:K26)</f>
        <v>0</v>
      </c>
      <c r="L24" s="59">
        <f>SUM(L25:L26)</f>
        <v>0</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c r="L26" s="60"/>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c r="L28" s="60"/>
    </row>
    <row r="29" spans="1:12" s="3" customFormat="1" ht="13.5" customHeight="1">
      <c r="A29" s="499" t="s">
        <v>53</v>
      </c>
      <c r="B29" s="500"/>
      <c r="C29" s="500"/>
      <c r="D29" s="500"/>
      <c r="E29" s="500"/>
      <c r="F29" s="500"/>
      <c r="G29" s="500"/>
      <c r="H29" s="501"/>
      <c r="I29" s="4">
        <v>131</v>
      </c>
      <c r="J29" s="8"/>
      <c r="K29" s="59">
        <f>SUM(K30:K34)</f>
        <v>14291</v>
      </c>
      <c r="L29" s="59">
        <f>SUM(L30:L34)</f>
        <v>45132</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14291</v>
      </c>
      <c r="L31" s="60">
        <v>45132</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260215</v>
      </c>
      <c r="L35" s="59">
        <f>SUM(L36:L39)</f>
        <v>10840</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260215</v>
      </c>
      <c r="L37" s="60">
        <v>10840</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7495446</v>
      </c>
      <c r="L44" s="59">
        <f>L9+L29+L40+L42</f>
        <v>9429392</v>
      </c>
    </row>
    <row r="45" spans="1:12" s="3" customFormat="1" ht="13.5" customHeight="1">
      <c r="A45" s="499" t="s">
        <v>56</v>
      </c>
      <c r="B45" s="500"/>
      <c r="C45" s="500"/>
      <c r="D45" s="500"/>
      <c r="E45" s="500"/>
      <c r="F45" s="500"/>
      <c r="G45" s="500"/>
      <c r="H45" s="501"/>
      <c r="I45" s="4">
        <v>147</v>
      </c>
      <c r="J45" s="8"/>
      <c r="K45" s="59">
        <f>K12+K35+K41+K43</f>
        <v>6964733</v>
      </c>
      <c r="L45" s="59">
        <f>L12+L35+L41+L43</f>
        <v>7610257</v>
      </c>
    </row>
    <row r="46" spans="1:12" s="3" customFormat="1" ht="13.5" customHeight="1">
      <c r="A46" s="499" t="s">
        <v>1825</v>
      </c>
      <c r="B46" s="500"/>
      <c r="C46" s="500"/>
      <c r="D46" s="500"/>
      <c r="E46" s="500"/>
      <c r="F46" s="500"/>
      <c r="G46" s="500"/>
      <c r="H46" s="501"/>
      <c r="I46" s="4">
        <v>148</v>
      </c>
      <c r="J46" s="8"/>
      <c r="K46" s="59">
        <f>K44-K45</f>
        <v>530713</v>
      </c>
      <c r="L46" s="59">
        <f>L44-L45</f>
        <v>1819135</v>
      </c>
    </row>
    <row r="47" spans="1:12" s="3" customFormat="1" ht="13.5" customHeight="1">
      <c r="A47" s="486" t="s">
        <v>58</v>
      </c>
      <c r="B47" s="487"/>
      <c r="C47" s="487"/>
      <c r="D47" s="487"/>
      <c r="E47" s="487"/>
      <c r="F47" s="487"/>
      <c r="G47" s="487"/>
      <c r="H47" s="488"/>
      <c r="I47" s="4">
        <v>149</v>
      </c>
      <c r="J47" s="8"/>
      <c r="K47" s="59">
        <f>IF(K44&gt;K45,K44-K45,0)</f>
        <v>530713</v>
      </c>
      <c r="L47" s="59">
        <f>IF(L44&gt;L45,L44-L45,0)</f>
        <v>1819135</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69717</v>
      </c>
      <c r="L49" s="60">
        <v>364203</v>
      </c>
    </row>
    <row r="50" spans="1:12" s="3" customFormat="1" ht="13.5" customHeight="1">
      <c r="A50" s="499" t="s">
        <v>1826</v>
      </c>
      <c r="B50" s="500"/>
      <c r="C50" s="500"/>
      <c r="D50" s="500"/>
      <c r="E50" s="500"/>
      <c r="F50" s="500"/>
      <c r="G50" s="500"/>
      <c r="H50" s="501"/>
      <c r="I50" s="4">
        <v>152</v>
      </c>
      <c r="J50" s="8"/>
      <c r="K50" s="59">
        <f>K46-K49</f>
        <v>460996</v>
      </c>
      <c r="L50" s="59">
        <f>L46-L49</f>
        <v>1454932</v>
      </c>
    </row>
    <row r="51" spans="1:12" s="3" customFormat="1" ht="13.5" customHeight="1">
      <c r="A51" s="486" t="s">
        <v>1021</v>
      </c>
      <c r="B51" s="487"/>
      <c r="C51" s="487"/>
      <c r="D51" s="487"/>
      <c r="E51" s="487"/>
      <c r="F51" s="487"/>
      <c r="G51" s="487"/>
      <c r="H51" s="488"/>
      <c r="I51" s="4">
        <v>153</v>
      </c>
      <c r="J51" s="8"/>
      <c r="K51" s="59">
        <f>IF(K50&gt;0,K50,0)</f>
        <v>460996</v>
      </c>
      <c r="L51" s="59">
        <f>IF(L50&gt;0,L50,0)</f>
        <v>1454932</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05" activePane="bottomLeft" state="frozen"/>
      <selection pane="topLeft" activeCell="A1" sqref="A1"/>
      <selection pane="bottomLeft" activeCell="L98" sqref="L98"/>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1</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1</v>
      </c>
      <c r="R3" s="207" t="s">
        <v>177</v>
      </c>
    </row>
    <row r="4" spans="1:12" s="3" customFormat="1" ht="19.5" customHeight="1" thickBot="1">
      <c r="A4" s="586" t="str">
        <f>"za razdoblje "&amp;IF(Opci!E5&lt;&gt;"",TEXT(Opci!E5,"DD.MM.YYYY."),"__.__.____.")&amp;" do "&amp;IF(Opci!H5&lt;&gt;"",TEXT(Opci!H5,"DD.MM.YYYY."),"__.__.____.")</f>
        <v>za razdoblje 01.01.2015. do 31.12.2015.</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89801268320; SPLITSKA OBALA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v>20164125</v>
      </c>
      <c r="L17" s="60">
        <v>20176875</v>
      </c>
    </row>
    <row r="18" spans="1:12" s="3" customFormat="1" ht="13.5" customHeight="1">
      <c r="A18" s="477" t="s">
        <v>456</v>
      </c>
      <c r="B18" s="478"/>
      <c r="C18" s="478"/>
      <c r="D18" s="478"/>
      <c r="E18" s="478"/>
      <c r="F18" s="478"/>
      <c r="G18" s="478"/>
      <c r="H18" s="478"/>
      <c r="I18" s="564"/>
      <c r="J18" s="4">
        <v>179</v>
      </c>
      <c r="K18" s="60">
        <v>534090</v>
      </c>
      <c r="L18" s="60">
        <v>554575</v>
      </c>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v>169179</v>
      </c>
      <c r="L20" s="60">
        <v>78084</v>
      </c>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20867394</v>
      </c>
      <c r="L26" s="59">
        <f>SUM(L10:L25)</f>
        <v>20809534</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v>7481155</v>
      </c>
      <c r="L82" s="60">
        <v>9328161</v>
      </c>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7481155</v>
      </c>
      <c r="L91" s="59">
        <f>SUM(L81:L90)</f>
        <v>9328161</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v>7481155</v>
      </c>
      <c r="L97" s="60">
        <v>9328161</v>
      </c>
      <c r="N97" s="213"/>
    </row>
    <row r="98" spans="1:14" s="3" customFormat="1" ht="13.5" customHeight="1">
      <c r="A98" s="477" t="s">
        <v>1</v>
      </c>
      <c r="B98" s="478"/>
      <c r="C98" s="478"/>
      <c r="D98" s="478"/>
      <c r="E98" s="478"/>
      <c r="F98" s="478"/>
      <c r="G98" s="478"/>
      <c r="H98" s="478"/>
      <c r="I98" s="564"/>
      <c r="J98" s="4">
        <v>257</v>
      </c>
      <c r="K98" s="60"/>
      <c r="L98" s="60">
        <v>0</v>
      </c>
      <c r="N98" s="213"/>
    </row>
    <row r="99" spans="1:14" s="3" customFormat="1" ht="13.5" customHeight="1">
      <c r="A99" s="499" t="s">
        <v>70</v>
      </c>
      <c r="B99" s="500"/>
      <c r="C99" s="500"/>
      <c r="D99" s="500"/>
      <c r="E99" s="500"/>
      <c r="F99" s="500"/>
      <c r="G99" s="500"/>
      <c r="H99" s="500"/>
      <c r="I99" s="570"/>
      <c r="J99" s="4">
        <v>258</v>
      </c>
      <c r="K99" s="59">
        <f>SUM(K97:K98)</f>
        <v>7481155</v>
      </c>
      <c r="L99" s="59">
        <f>SUM(L97:L98)</f>
        <v>9328161</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v>14291</v>
      </c>
      <c r="L119" s="60">
        <v>45132</v>
      </c>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14291</v>
      </c>
      <c r="L122" s="59">
        <f>SUM(L119:L121)</f>
        <v>45132</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v>260215</v>
      </c>
      <c r="L128" s="60">
        <v>10840</v>
      </c>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260215</v>
      </c>
      <c r="L134" s="71">
        <f>SUM(L128:L133)</f>
        <v>10840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v>25</v>
      </c>
      <c r="L136" s="58">
        <v>28</v>
      </c>
    </row>
    <row r="137" spans="1:12" s="3" customFormat="1" ht="13.5" customHeight="1">
      <c r="A137" s="477" t="s">
        <v>144</v>
      </c>
      <c r="B137" s="478"/>
      <c r="C137" s="478"/>
      <c r="D137" s="478"/>
      <c r="E137" s="478"/>
      <c r="F137" s="478"/>
      <c r="G137" s="478"/>
      <c r="H137" s="478"/>
      <c r="I137" s="564"/>
      <c r="J137" s="4">
        <v>295</v>
      </c>
      <c r="K137" s="60">
        <v>25</v>
      </c>
      <c r="L137" s="60">
        <v>28</v>
      </c>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v>50747</v>
      </c>
      <c r="L139" s="60">
        <v>61386</v>
      </c>
    </row>
    <row r="140" spans="1:12" s="3" customFormat="1" ht="13.5" customHeight="1">
      <c r="A140" s="477" t="s">
        <v>147</v>
      </c>
      <c r="B140" s="478"/>
      <c r="C140" s="478"/>
      <c r="D140" s="478"/>
      <c r="E140" s="478"/>
      <c r="F140" s="478"/>
      <c r="G140" s="478"/>
      <c r="H140" s="478"/>
      <c r="I140" s="564"/>
      <c r="J140" s="4">
        <v>298</v>
      </c>
      <c r="K140" s="60">
        <v>2088</v>
      </c>
      <c r="L140" s="60">
        <v>2088</v>
      </c>
    </row>
    <row r="141" spans="1:12" s="3" customFormat="1" ht="13.5" customHeight="1">
      <c r="A141" s="499" t="s">
        <v>76</v>
      </c>
      <c r="B141" s="500"/>
      <c r="C141" s="500"/>
      <c r="D141" s="500"/>
      <c r="E141" s="500"/>
      <c r="F141" s="500"/>
      <c r="G141" s="500"/>
      <c r="H141" s="500"/>
      <c r="I141" s="570"/>
      <c r="J141" s="4">
        <v>299</v>
      </c>
      <c r="K141" s="59">
        <f>SUM(K136:K140)</f>
        <v>52885</v>
      </c>
      <c r="L141" s="59">
        <f>SUM(L136:L140)</f>
        <v>63530</v>
      </c>
    </row>
    <row r="142" spans="1:12" s="3" customFormat="1" ht="13.5" customHeight="1">
      <c r="A142" s="477" t="s">
        <v>148</v>
      </c>
      <c r="B142" s="478"/>
      <c r="C142" s="478"/>
      <c r="D142" s="478"/>
      <c r="E142" s="478"/>
      <c r="F142" s="478"/>
      <c r="G142" s="478"/>
      <c r="H142" s="478"/>
      <c r="I142" s="564"/>
      <c r="J142" s="4">
        <v>300</v>
      </c>
      <c r="K142" s="60">
        <v>1</v>
      </c>
      <c r="L142" s="60">
        <v>1</v>
      </c>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1</v>
      </c>
      <c r="L144" s="71">
        <f>SUM(L142:L143)</f>
        <v>1</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89801268320; SPLITSKA OBALA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89801268320; SPLITSKA OBALA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Windows User</cp:lastModifiedBy>
  <cp:lastPrinted>2016-06-06T08:18:35Z</cp:lastPrinted>
  <dcterms:created xsi:type="dcterms:W3CDTF">2008-10-17T11:51:54Z</dcterms:created>
  <dcterms:modified xsi:type="dcterms:W3CDTF">2016-09-21T13:16:00Z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