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<sst xmlns="http://schemas.openxmlformats.org/spreadsheetml/2006/main" count="3812" uniqueCount="3015">
  <si>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</si>
  <si>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</si>
  <si>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</si>
  <si>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</si>
  <si>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</si>
  <si>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</si>
  <si>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</si>
  <si>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</si>
  <si>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</si>
  <si>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</si>
  <si>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</si>
  <si>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</si>
  <si>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</si>
  <si>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</si>
  <si>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</si>
  <si>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</si>
  <si>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</si>
  <si>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</si>
  <si>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</si>
  <si>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</si>
  <si>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</si>
  <si>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</si>
  <si>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</si>
  <si>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</si>
  <si>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</si>
  <si>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</si>
  <si>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</si>
  <si>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</si>
  <si>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</si>
  <si>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</si>
  <si>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</si>
  <si>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</si>
  <si>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</si>
  <si>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</si>
  <si>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</si>
  <si>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</si>
  <si>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</si>
  <si>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</si>
  <si>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</si>
  <si>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</si>
  <si>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</si>
  <si>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</si>
  <si>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</si>
  <si>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</si>
  <si>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</si>
  <si>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</si>
  <si>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</si>
  <si>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</si>
  <si>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</si>
  <si>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</si>
  <si>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</si>
  <si>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</si>
  <si>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</si>
  <si>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</si>
  <si>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</si>
  <si>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</si>
  <si>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</si>
  <si>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</si>
  <si>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</si>
  <si>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</si>
  <si>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</si>
  <si>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</si>
  <si>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</si>
  <si>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</si>
  <si>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</si>
  <si>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</si>
  <si>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</si>
  <si>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</si>
  <si>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</si>
  <si>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</si>
  <si>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</si>
  <si>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</si>
  <si>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</si>
  <si>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</si>
  <si>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</si>
  <si>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</si>
  <si>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</si>
  <si>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</si>
  <si>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</si>
  <si>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</si>
  <si>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</si>
  <si>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</si>
  <si>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</si>
  <si>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</si>
  <si>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</si>
  <si>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</si>
  <si>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</si>
  <si>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</si>
  <si>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</si>
  <si>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</si>
  <si>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</si>
  <si>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</si>
  <si>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</si>
  <si>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</si>
  <si>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</si>
  <si>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</si>
  <si>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</si>
  <si>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</si>
  <si>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</si>
  <si>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</si>
  <si>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</si>
  <si>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</si>
  <si>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</si>
  <si>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</si>
  <si>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</si>
  <si>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</si>
  <si>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</si>
  <si>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</si>
  <si>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</si>
  <si>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</si>
  <si>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</si>
  <si>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</si>
  <si>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</si>
  <si>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</si>
  <si>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</si>
  <si>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</si>
  <si>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</si>
  <si>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</si>
  <si>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</si>
  <si>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</si>
  <si>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</si>
  <si>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</si>
  <si>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</si>
  <si>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</si>
  <si>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</si>
  <si>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</si>
  <si>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</si>
  <si>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</si>
  <si>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</si>
  <si>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</si>
  <si>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</si>
  <si>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</si>
  <si>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</si>
  <si>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</si>
  <si>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</si>
  <si>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</si>
  <si>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</si>
  <si>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</si>
  <si>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</si>
  <si>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</si>
  <si>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</si>
  <si>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</si>
  <si>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</si>
  <si>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</si>
  <si>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</si>
  <si>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</si>
  <si>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</si>
  <si>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</si>
  <si>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</si>
  <si>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</si>
  <si>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</si>
  <si>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</si>
  <si>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</si>
  <si>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</si>
  <si>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</si>
  <si>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</si>
  <si>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</si>
  <si>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</si>
  <si>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</si>
  <si>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</si>
  <si>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</si>
  <si>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</si>
  <si>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</si>
  <si>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</si>
  <si>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</si>
  <si>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</si>
  <si>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</si>
  <si>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</si>
  <si>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</si>
  <si>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</si>
  <si>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</si>
  <si>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</si>
  <si>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</si>
  <si>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</si>
  <si>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</si>
  <si>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</si>
  <si>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</si>
  <si>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</si>
  <si>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</si>
  <si>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</si>
  <si>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</si>
  <si>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</si>
  <si>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</si>
  <si>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</si>
  <si>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</si>
  <si>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</si>
  <si>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</si>
  <si>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</si>
  <si>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</si>
  <si>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</si>
  <si>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</si>
  <si>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</si>
  <si>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</si>
  <si>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</si>
  <si>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</si>
  <si>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</si>
  <si>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</si>
  <si>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</si>
  <si>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</si>
  <si>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</si>
  <si>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</si>
  <si>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</si>
  <si>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</si>
  <si>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</si>
  <si>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</si>
  <si>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</si>
  <si>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</si>
  <si>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</si>
  <si>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</si>
  <si>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</si>
  <si>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</si>
  <si>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</si>
  <si>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</si>
  <si>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</si>
  <si>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</si>
  <si>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</si>
  <si>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</si>
  <si>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</si>
  <si>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</si>
  <si>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</si>
  <si>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</si>
  <si>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</si>
  <si>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</si>
  <si>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</si>
  <si>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</si>
  <si>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</si>
  <si>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</si>
  <si>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</si>
  <si>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</si>
  <si>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</si>
  <si>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</si>
  <si>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</si>
  <si>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</si>
  <si>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</si>
  <si>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</si>
  <si>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</si>
  <si>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</si>
  <si>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</si>
  <si>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</si>
  <si>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</si>
  <si>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</si>
  <si>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</si>
  <si>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</si>
  <si>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</si>
  <si>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</si>
  <si>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</si>
  <si>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</si>
  <si>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</si>
  <si>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</si>
  <si>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</si>
  <si>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</si>
  <si>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</si>
  <si>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</si>
  <si>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</si>
  <si>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</si>
  <si>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</si>
  <si>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</si>
  <si>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</si>
  <si>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</si>
  <si>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</si>
  <si>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</si>
  <si>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</si>
  <si>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</si>
  <si>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</si>
  <si>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</si>
  <si>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</si>
  <si>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</si>
  <si>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</si>
  <si>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</si>
  <si>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</si>
  <si>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</si>
  <si>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</si>
  <si>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</si>
  <si>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</si>
  <si>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</si>
  <si>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</si>
  <si>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</si>
  <si>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</si>
  <si>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</si>
  <si>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</si>
  <si>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</si>
  <si>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</si>
  <si>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</si>
  <si>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</si>
  <si>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</si>
  <si>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</si>
  <si>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</si>
  <si>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</si>
  <si>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</si>
  <si>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</si>
  <si>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</si>
  <si>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</si>
  <si>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</si>
  <si>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</si>
  <si>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</si>
  <si>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</si>
  <si>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</si>
  <si>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</si>
  <si>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</si>
  <si>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</si>
  <si>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</si>
  <si>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</si>
  <si>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</si>
  <si>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</si>
  <si>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</si>
  <si>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</si>
  <si>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</si>
  <si>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</si>
  <si>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</si>
  <si>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</si>
  <si>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</si>
  <si>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</si>
  <si>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</si>
  <si>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</si>
  <si>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</si>
  <si>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</si>
  <si>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</si>
  <si>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</si>
  <si>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</si>
  <si>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</si>
  <si>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</si>
  <si>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</si>
  <si>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</si>
  <si>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</si>
  <si>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</si>
  <si>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</si>
  <si>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</si>
  <si>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</si>
  <si>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</si>
  <si>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</si>
  <si>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</si>
  <si>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</si>
  <si>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</si>
  <si>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</si>
  <si>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</si>
  <si>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</si>
  <si>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</si>
  <si>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</si>
  <si>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</si>
  <si>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</si>
  <si>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</si>
  <si>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</si>
  <si>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</si>
  <si>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</si>
  <si>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</si>
  <si>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</si>
  <si>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</si>
  <si>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</si>
  <si>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</si>
  <si>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</si>
  <si>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</si>
  <si>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</si>
  <si>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</si>
  <si>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</si>
  <si>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</si>
  <si>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</si>
  <si>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</si>
  <si>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</si>
  <si>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</si>
  <si>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</si>
  <si>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</si>
  <si>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</si>
  <si>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</si>
  <si>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</si>
  <si>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</si>
  <si>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</si>
  <si>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</si>
  <si>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</si>
  <si>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</si>
  <si>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</si>
  <si>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</si>
  <si>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</si>
  <si>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</si>
  <si>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</si>
  <si>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</si>
  <si>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</si>
  <si>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</si>
  <si>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</si>
  <si>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</si>
  <si>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</si>
  <si>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</si>
  <si>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</si>
  <si>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</si>
  <si>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</si>
  <si>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</si>
  <si>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</si>
  <si>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</si>
  <si>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</si>
  <si>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</si>
  <si>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</si>
  <si>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</si>
  <si>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</si>
  <si>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</si>
  <si>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</si>
  <si>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</si>
  <si>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</si>
  <si>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</si>
  <si>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</si>
  <si>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</si>
  <si>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</si>
  <si>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</si>
  <si>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</si>
  <si>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</si>
  <si>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</si>
  <si>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</si>
  <si>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</si>
  <si>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</si>
  <si>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</si>
  <si>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</si>
  <si>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</si>
  <si>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</si>
  <si>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</si>
  <si>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</si>
  <si>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</si>
  <si>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</si>
  <si>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</si>
  <si>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</si>
  <si>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</si>
  <si>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</si>
  <si>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</si>
  <si>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</si>
  <si>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</si>
  <si>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</si>
  <si>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</si>
  <si>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</si>
  <si>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</si>
  <si>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</si>
  <si>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</si>
  <si>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</si>
  <si>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</si>
  <si>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</si>
  <si>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</si>
  <si>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</si>
  <si>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</si>
  <si>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</si>
  <si>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</si>
  <si>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</si>
  <si>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</si>
  <si>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</si>
  <si>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</si>
  <si>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</si>
  <si>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</si>
  <si>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</si>
  <si>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</si>
  <si>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</si>
  <si>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</si>
  <si>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</si>
  <si>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</si>
  <si>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</si>
  <si>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</si>
  <si>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</si>
  <si>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</si>
  <si>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</si>
  <si>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</si>
  <si>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</si>
  <si>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</si>
  <si>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</si>
  <si>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</si>
  <si>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</si>
  <si>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</si>
  <si>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</si>
  <si>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</si>
  <si>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</si>
  <si>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</si>
  <si>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</si>
  <si>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</si>
  <si>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</si>
  <si>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</si>
  <si>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</si>
  <si>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</si>
  <si>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</si>
  <si>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</si>
  <si>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</si>
  <si>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</si>
  <si>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</si>
  <si>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</si>
  <si>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</si>
  <si>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</si>
  <si>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</si>
  <si>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</si>
  <si>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</si>
  <si>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</si>
  <si>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</si>
  <si>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</si>
  <si>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</si>
  <si>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</si>
  <si>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</si>
  <si>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</si>
  <si>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</si>
  <si>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</si>
  <si>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</si>
  <si>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</si>
  <si>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</si>
  <si>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</si>
  <si>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</si>
  <si>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</si>
  <si>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</si>
  <si>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</si>
  <si>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</si>
  <si>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</si>
  <si>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</si>
  <si>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</si>
  <si>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</si>
  <si>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</si>
  <si>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</si>
  <si>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</si>
  <si>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</si>
  <si>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</si>
  <si>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</si>
  <si>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</si>
  <si>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</si>
  <si>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</si>
  <si>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</si>
  <si>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</si>
  <si>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</si>
  <si>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</si>
  <si>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</si>
  <si>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</si>
  <si>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</si>
  <si>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</si>
  <si>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</si>
  <si>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</si>
  <si>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</si>
  <si>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</si>
  <si>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</si>
  <si>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</si>
  <si>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</si>
  <si>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</si>
  <si>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</si>
  <si>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</si>
  <si>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</si>
  <si>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</si>
  <si>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</si>
  <si>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</si>
  <si>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</si>
  <si>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</si>
  <si>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</si>
  <si>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</si>
  <si>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</si>
  <si>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</si>
  <si>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</si>
  <si>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</si>
  <si>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</si>
  <si>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</si>
  <si>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</si>
  <si>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</si>
  <si>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</si>
  <si>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</si>
  <si>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</si>
  <si>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</si>
  <si>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</si>
  <si>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</si>
  <si>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</si>
  <si>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</si>
  <si>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</si>
  <si>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</si>
  <si>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</si>
  <si>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</si>
  <si>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</si>
  <si>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</si>
  <si>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</si>
  <si>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</si>
  <si>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</si>
  <si>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</si>
  <si>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</si>
  <si>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</si>
  <si>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</si>
  <si>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</si>
  <si>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</si>
  <si>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</si>
  <si>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</si>
  <si>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</si>
  <si>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</si>
  <si>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</si>
  <si>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</si>
  <si>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</si>
  <si>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</si>
  <si>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</si>
  <si>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</si>
  <si>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</si>
  <si>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</si>
  <si>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</si>
  <si>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</si>
  <si>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</si>
  <si>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</si>
  <si>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</si>
  <si>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</si>
  <si>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</si>
  <si>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</si>
  <si>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</si>
  <si>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</si>
  <si>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</si>
  <si>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</si>
  <si>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</si>
  <si>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</si>
  <si>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</si>
  <si>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</si>
  <si>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</si>
  <si>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</si>
  <si>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</si>
  <si>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</si>
  <si>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</si>
  <si>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</si>
  <si>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</si>
  <si>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</si>
  <si>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</si>
  <si>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</si>
  <si>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</si>
  <si>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</si>
  <si>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</si>
  <si>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</si>
  <si>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</si>
  <si>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</si>
  <si>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</si>
  <si>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</si>
  <si>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</si>
  <si>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</si>
  <si>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</si>
  <si>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</si>
  <si>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</si>
  <si>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</si>
  <si>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</si>
  <si>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</si>
  <si>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</si>
  <si>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</si>
  <si>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</si>
  <si>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</si>
  <si>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</si>
  <si>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</si>
  <si>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</si>
  <si>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</si>
  <si>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</si>
  <si>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</si>
  <si>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</si>
  <si>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</si>
  <si>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</si>
  <si>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</si>
  <si>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</si>
  <si>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</si>
  <si>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</si>
  <si>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</si>
  <si>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</si>
  <si>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</si>
  <si>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</si>
  <si>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</si>
  <si>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</si>
  <si>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</si>
  <si>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</si>
  <si>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</si>
  <si>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</si>
  <si>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</si>
  <si>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</si>
  <si>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</si>
  <si>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</si>
  <si>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</si>
  <si>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</si>
  <si>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</si>
  <si>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</si>
  <si>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</si>
  <si>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</si>
  <si>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</si>
  <si>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</si>
  <si>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</si>
  <si>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</si>
  <si>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</si>
  <si>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</si>
  <si>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</si>
  <si>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</si>
  <si>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</si>
  <si>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</si>
  <si>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</si>
  <si>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</si>
  <si>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</si>
  <si>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</si>
  <si>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</si>
  <si>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</si>
  <si>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</si>
  <si>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</si>
  <si>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</si>
  <si>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</si>
  <si>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</si>
  <si>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</si>
  <si>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</si>
  <si>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</si>
  <si>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</si>
  <si>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</si>
  <si>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</si>
  <si>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</si>
  <si>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</si>
  <si>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</si>
  <si>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</si>
  <si>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</si>
  <si>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</si>
  <si>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</si>
  <si>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</si>
  <si>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</si>
  <si>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</si>
  <si>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</si>
  <si>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</si>
  <si>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</si>
  <si>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</si>
  <si>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</si>
  <si>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</si>
  <si>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</si>
  <si>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</si>
  <si>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</si>
  <si>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</si>
  <si>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</si>
  <si>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</si>
  <si>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</si>
  <si>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</si>
  <si>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</si>
  <si>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</si>
  <si>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</si>
  <si>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</si>
  <si>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</si>
  <si>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</si>
  <si>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</si>
  <si>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</si>
  <si>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</si>
  <si>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</si>
  <si>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</si>
  <si>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</si>
  <si>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</si>
  <si>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</si>
  <si>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</si>
  <si>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</si>
  <si>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</si>
  <si>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</si>
  <si>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</si>
  <si>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</si>
  <si>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</si>
  <si>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</si>
  <si>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</si>
  <si>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</si>
  <si>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</si>
  <si>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</si>
  <si>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</si>
  <si>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</si>
  <si>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</si>
  <si>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</si>
  <si>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</si>
  <si>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</si>
  <si>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</si>
  <si>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</si>
  <si>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</si>
  <si>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</si>
  <si>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</si>
  <si>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</si>
  <si>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</si>
  <si>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</si>
  <si>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</si>
  <si>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</si>
  <si>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</si>
  <si>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</si>
  <si>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</si>
  <si>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</si>
  <si>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</si>
  <si>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</si>
  <si>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</si>
  <si>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</si>
  <si>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</si>
  <si>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</si>
  <si>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</si>
  <si>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</si>
  <si>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</si>
  <si>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</si>
  <si>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</si>
  <si>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</si>
  <si>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</si>
  <si>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</si>
  <si>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</si>
  <si>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</si>
  <si>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</si>
  <si>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</si>
  <si>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</si>
  <si>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</si>
  <si>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</si>
  <si>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</si>
  <si>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</si>
  <si>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</si>
  <si>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</si>
  <si>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</si>
  <si>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</si>
  <si>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</si>
  <si>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</si>
  <si>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</si>
  <si>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</si>
  <si>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</si>
  <si>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</si>
  <si>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</si>
  <si>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</si>
  <si>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</si>
  <si>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</si>
  <si>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</si>
  <si>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</si>
  <si>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</si>
  <si>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</si>
  <si>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</si>
  <si>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</si>
  <si>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</si>
  <si>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</si>
  <si>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</si>
  <si>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</si>
  <si>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</si>
  <si>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</si>
  <si>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</si>
  <si>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</si>
  <si>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</si>
  <si>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</si>
  <si>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</si>
  <si>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</si>
  <si>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</si>
  <si>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</si>
  <si>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</si>
  <si>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</si>
  <si>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</si>
  <si>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</si>
  <si>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</si>
  <si>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</si>
  <si>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</si>
  <si>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</si>
  <si>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</si>
  <si>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</si>
  <si>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</si>
  <si>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</si>
  <si>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</si>
  <si>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</si>
  <si>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</si>
  <si>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</si>
  <si>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</si>
  <si>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</si>
  <si>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</si>
  <si>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</si>
  <si>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</si>
  <si>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</si>
  <si>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</si>
  <si>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</si>
  <si>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</si>
  <si>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</si>
  <si>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</si>
  <si>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</si>
  <si>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</si>
  <si>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</si>
  <si>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</si>
  <si>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</si>
  <si>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</si>
  <si>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</si>
  <si>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</si>
  <si>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</si>
  <si>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</si>
  <si>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</si>
  <si>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</si>
  <si>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</si>
  <si>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</si>
  <si>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</si>
  <si>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</si>
  <si>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</si>
  <si>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</si>
  <si>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</si>
  <si>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</si>
  <si>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</si>
  <si>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</si>
  <si>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</si>
  <si>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</si>
  <si>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</si>
  <si>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</si>
  <si>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</si>
  <si>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</si>
  <si>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</si>
  <si>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</si>
  <si>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</si>
  <si>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</si>
  <si>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</si>
  <si>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</si>
  <si>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</si>
  <si>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</si>
  <si>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</si>
  <si>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</si>
  <si>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</si>
  <si>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</si>
  <si>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</si>
  <si>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</si>
  <si>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</si>
  <si>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</si>
  <si>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</si>
  <si>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</si>
  <si>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</si>
  <si>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</si>
  <si>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</si>
  <si>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</si>
  <si>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</si>
  <si>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</si>
  <si>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</si>
  <si>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</si>
  <si>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</si>
  <si>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</si>
  <si>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</si>
  <si>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</si>
  <si>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</si>
  <si>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</si>
  <si>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</si>
  <si>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</si>
  <si>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</si>
  <si>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</si>
  <si>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</si>
  <si>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</si>
  <si>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</si>
  <si>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</si>
  <si>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</si>
  <si>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</si>
  <si>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</si>
  <si>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</si>
  <si>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</si>
  <si>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</si>
  <si>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</si>
  <si>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</si>
  <si>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</si>
  <si>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</si>
  <si>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</si>
  <si>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</si>
  <si>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</si>
  <si>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</si>
  <si>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</si>
  <si>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</si>
  <si>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</si>
  <si>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</si>
  <si>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</si>
  <si>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</si>
  <si>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</si>
  <si>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</si>
  <si>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</si>
  <si>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</si>
  <si>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</si>
  <si>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</si>
  <si>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</si>
  <si>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</si>
  <si>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</si>
  <si>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</si>
  <si>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</si>
  <si>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</si>
  <si>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</si>
  <si>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</si>
  <si>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</si>
  <si>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</si>
  <si>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</si>
  <si>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</si>
  <si>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</si>
  <si>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</si>
  <si>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</si>
  <si>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</si>
  <si>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</si>
  <si>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</si>
  <si>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</si>
  <si>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</si>
  <si>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</si>
  <si>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</si>
  <si>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</si>
  <si>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</si>
  <si>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</si>
  <si>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</si>
  <si>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</si>
  <si>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</si>
  <si>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</si>
  <si>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</si>
  <si>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</si>
  <si>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</si>
  <si>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</si>
  <si>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</si>
  <si>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</si>
  <si>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</si>
  <si>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</si>
  <si>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</si>
  <si>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</si>
  <si>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</si>
  <si>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</si>
  <si>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</si>
  <si>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</si>
  <si>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</si>
  <si>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</si>
  <si>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</si>
  <si>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</si>
  <si>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</si>
  <si>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</si>
  <si>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</si>
  <si>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</si>
  <si>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</si>
  <si>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</si>
  <si>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</si>
  <si>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</si>
  <si>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</si>
  <si>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</si>
  <si>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</si>
  <si>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</si>
  <si>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</si>
  <si>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</si>
  <si>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</si>
  <si>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</si>
  <si>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</si>
  <si>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</si>
  <si>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</si>
  <si>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</si>
  <si>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</si>
  <si>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</si>
  <si>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</si>
  <si>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</si>
  <si>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</si>
  <si>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</si>
  <si>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</si>
  <si>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</si>
  <si>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</si>
  <si>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</si>
  <si>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</si>
  <si>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</si>
  <si>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</si>
  <si>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</si>
  <si>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</si>
  <si>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</si>
  <si>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</si>
  <si>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</si>
  <si>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</si>
  <si>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</si>
  <si>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</si>
  <si>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</si>
  <si>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</si>
  <si>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</si>
  <si>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</si>
  <si>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</si>
  <si>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</si>
  <si>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</si>
  <si>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</si>
  <si>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</si>
  <si>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</si>
  <si>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</si>
  <si>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</si>
  <si>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</si>
  <si>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</si>
  <si>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</si>
  <si>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</si>
  <si>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</si>
  <si>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</si>
  <si>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</si>
  <si>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</si>
  <si>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</si>
  <si>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</si>
  <si>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</si>
  <si>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</si>
  <si>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</si>
  <si>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</si>
  <si>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</si>
  <si>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</si>
  <si>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</si>
  <si>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</si>
  <si>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</si>
  <si>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</si>
  <si>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</si>
  <si>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</si>
  <si>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</si>
  <si>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</si>
  <si>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</si>
  <si>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</si>
  <si>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</si>
  <si>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</si>
  <si>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</si>
  <si>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</si>
  <si>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</si>
  <si>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</si>
  <si>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</si>
  <si>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</si>
  <si>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</si>
  <si>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</si>
  <si>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</si>
  <si>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</si>
  <si>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</si>
  <si>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</si>
  <si>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</si>
  <si>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</si>
  <si>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</si>
  <si>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</si>
  <si>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</si>
  <si>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</si>
  <si>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</si>
  <si>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</si>
  <si>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</si>
  <si>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</si>
  <si>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</si>
  <si>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</si>
  <si>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</si>
  <si>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</si>
  <si>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</si>
  <si>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</si>
  <si>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</si>
  <si>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</si>
  <si>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</si>
  <si>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</si>
  <si>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</si>
  <si>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</si>
  <si>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</si>
  <si>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</si>
  <si>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</si>
  <si>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</si>
  <si>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</si>
  <si>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</si>
  <si>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</si>
  <si>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</si>
  <si>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</si>
  <si>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</si>
  <si>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</si>
  <si>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</si>
  <si>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</si>
  <si>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</si>
  <si>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</si>
  <si>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</si>
  <si>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</si>
  <si>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</si>
  <si>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</si>
  <si>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</si>
  <si>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</si>
  <si>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</si>
  <si>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</si>
  <si>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</si>
  <si>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</si>
  <si>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</si>
  <si>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</si>
  <si>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</si>
  <si>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</si>
  <si>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</si>
  <si>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</si>
  <si>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</si>
  <si>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</si>
  <si>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</si>
  <si>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</si>
  <si>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</si>
  <si>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</si>
  <si>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</si>
  <si>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</si>
  <si>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</si>
  <si>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</si>
  <si>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</si>
  <si>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</si>
  <si>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</si>
  <si>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</si>
  <si>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</si>
  <si>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</si>
  <si>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</si>
  <si>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</si>
  <si>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</si>
  <si>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</si>
  <si>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</si>
  <si>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</si>
  <si>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</si>
  <si>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</si>
  <si>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</si>
  <si>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</si>
  <si>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</si>
  <si>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</si>
  <si>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</si>
  <si>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</si>
  <si>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</si>
  <si>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</si>
  <si>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</si>
  <si>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</si>
  <si>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</si>
  <si>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</si>
  <si>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</si>
  <si>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</si>
  <si>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</si>
  <si>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</si>
  <si>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</si>
  <si>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</si>
  <si>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</si>
  <si>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</si>
  <si>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</si>
  <si>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</si>
  <si>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</si>
  <si>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</si>
  <si>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</si>
  <si>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</si>
  <si>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</si>
  <si>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</si>
  <si>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</si>
  <si>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</si>
  <si>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</si>
  <si>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</si>
  <si>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</si>
  <si>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</si>
  <si>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</si>
  <si>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</si>
  <si>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</si>
  <si>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</si>
  <si>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</si>
  <si>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</si>
  <si>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</si>
  <si>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</si>
  <si>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</si>
  <si>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</si>
  <si>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</si>
  <si>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</si>
  <si>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</si>
  <si>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</si>
  <si>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</si>
  <si>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</si>
  <si>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</si>
  <si>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</si>
  <si>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</si>
  <si>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</si>
  <si>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</si>
  <si>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</si>
  <si>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</si>
  <si>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</si>
  <si>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</si>
  <si>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</si>
  <si>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</si>
  <si>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</si>
  <si>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</si>
  <si>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</si>
  <si>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</si>
  <si>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</si>
  <si>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</si>
  <si>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</si>
  <si>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</si>
  <si>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</si>
  <si>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</si>
  <si>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</si>
  <si>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</si>
  <si>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</si>
  <si>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</si>
  <si>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</si>
  <si>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</si>
  <si>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</si>
  <si>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</si>
  <si>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</si>
  <si>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</si>
  <si>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</si>
  <si>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</si>
  <si>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</si>
  <si>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</si>
  <si>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</si>
  <si>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</si>
  <si>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</si>
  <si>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</si>
  <si>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</si>
  <si>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</si>
  <si>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</si>
  <si>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</si>
  <si>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</si>
  <si>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</si>
  <si>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</si>
  <si>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</si>
  <si>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</si>
  <si>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</si>
  <si>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</si>
  <si>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</si>
  <si>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</si>
  <si>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</si>
  <si>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</si>
  <si>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</si>
  <si>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</si>
  <si>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</si>
  <si>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</si>
  <si>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</si>
  <si>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</si>
  <si>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</si>
  <si>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</si>
  <si>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</si>
  <si>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</si>
  <si>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</si>
  <si>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</si>
  <si>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</si>
  <si>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</si>
  <si>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</si>
  <si>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</si>
  <si>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</si>
  <si>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</si>
  <si>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</si>
  <si>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</si>
  <si>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</si>
  <si>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</si>
  <si>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</si>
  <si>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</si>
  <si>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</si>
  <si>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</si>
  <si>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</si>
  <si>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</si>
  <si>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</si>
  <si>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</si>
  <si>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</si>
  <si>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</si>
  <si>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</si>
  <si>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</si>
  <si>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</si>
  <si>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</si>
  <si>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</si>
  <si>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</si>
  <si>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</si>
  <si>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</si>
  <si>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</si>
  <si>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</si>
  <si>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</si>
  <si>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</si>
  <si>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</si>
  <si>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</si>
  <si>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</si>
  <si>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</si>
  <si>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</si>
  <si>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</si>
  <si>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</si>
  <si>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</si>
  <si>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</si>
  <si>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</si>
  <si>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</si>
  <si>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</si>
  <si>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</si>
  <si>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</si>
  <si>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</si>
  <si>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</si>
  <si>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</si>
  <si>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</si>
  <si>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</si>
  <si>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</si>
  <si>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</si>
  <si>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</si>
  <si>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</si>
  <si>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</si>
  <si>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</si>
  <si>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</si>
  <si>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</si>
  <si>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</si>
  <si>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</si>
  <si>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</si>
  <si>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</si>
  <si>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</si>
  <si>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</si>
  <si>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</si>
  <si>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</si>
  <si>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</si>
  <si>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</si>
  <si>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</si>
  <si>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</si>
  <si>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</si>
  <si>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</si>
  <si>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</si>
  <si>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</si>
  <si>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</si>
  <si>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</si>
  <si>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</si>
  <si>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</si>
  <si>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</si>
  <si>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</si>
  <si>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</si>
  <si>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</si>
  <si>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</si>
  <si>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</si>
  <si>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</si>
  <si>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</si>
  <si>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</si>
  <si>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</si>
  <si>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</si>
  <si>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</si>
  <si>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</si>
  <si>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</si>
  <si>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</si>
  <si>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</si>
  <si>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</si>
  <si>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</si>
  <si>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</si>
  <si>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</si>
  <si>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</si>
  <si>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</si>
  <si>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</si>
  <si>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</si>
  <si>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</si>
  <si>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</si>
  <si>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</si>
  <si>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</si>
  <si>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</si>
  <si>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</si>
  <si>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</si>
  <si>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</si>
  <si>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</si>
  <si>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</si>
  <si>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</si>
  <si>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</si>
  <si>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</si>
  <si>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</si>
  <si>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</si>
  <si>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</si>
  <si>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</si>
  <si>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</si>
  <si>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</si>
  <si>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</si>
  <si>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</si>
  <si>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</si>
  <si>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</si>
  <si>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</si>
  <si>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</si>
  <si>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</si>
  <si>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</si>
  <si>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</si>
  <si>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</si>
  <si>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</si>
  <si>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</si>
  <si>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</si>
  <si>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</si>
  <si>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</si>
  <si>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</si>
  <si>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</si>
  <si>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</si>
  <si>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</si>
  <si>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</si>
  <si>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</si>
  <si>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</si>
  <si>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</si>
  <si>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</si>
  <si>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</si>
  <si>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</si>
  <si>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</si>
  <si>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</si>
  <si>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</si>
  <si>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</si>
  <si>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</si>
  <si>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</si>
  <si>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</si>
  <si>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</si>
  <si>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</si>
  <si>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</si>
  <si>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</si>
  <si>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</si>
  <si>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</si>
  <si>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</si>
  <si>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</si>
  <si>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</si>
  <si>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</si>
  <si>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</si>
  <si>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</si>
  <si>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</si>
  <si>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</si>
  <si>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</si>
  <si>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</si>
  <si>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</si>
  <si>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</si>
  <si>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</si>
  <si>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</si>
  <si>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</si>
  <si>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</si>
  <si>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</si>
  <si>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</si>
  <si>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</si>
  <si>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</si>
  <si>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</si>
  <si>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</si>
  <si>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</si>
  <si>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</si>
  <si>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</si>
  <si>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</si>
  <si>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</si>
  <si>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</si>
  <si>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</si>
  <si>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</si>
  <si>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</si>
  <si>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</si>
  <si>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</si>
  <si>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</si>
  <si>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</si>
  <si>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</si>
  <si>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</si>
  <si>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</si>
  <si>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</si>
  <si>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</si>
  <si>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</si>
  <si>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</si>
  <si>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</si>
  <si>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</si>
  <si>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</si>
  <si>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</si>
  <si>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</si>
  <si>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</si>
  <si>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</si>
  <si>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</si>
  <si>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</si>
  <si>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</si>
  <si>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</si>
  <si>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</si>
  <si>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</si>
  <si>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</si>
  <si>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</si>
  <si>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</si>
  <si>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</si>
  <si>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</si>
  <si>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</si>
  <si>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</si>
  <si>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</si>
  <si>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</si>
  <si>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</si>
  <si>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</si>
  <si>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</si>
  <si>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</si>
  <si>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</si>
  <si>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</si>
  <si>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</si>
  <si>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</si>
  <si>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</si>
  <si>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</si>
  <si>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</si>
  <si>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</si>
  <si>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</si>
  <si>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</si>
  <si>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</si>
  <si>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</si>
  <si>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</si>
  <si>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</si>
  <si>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</si>
  <si>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</si>
  <si>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</si>
  <si>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</si>
  <si>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</si>
  <si>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</si>
  <si>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</si>
  <si>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</si>
  <si>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</si>
  <si>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</si>
  <si>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</si>
  <si>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</si>
  <si>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</si>
  <si>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</si>
  <si>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</si>
  <si>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</si>
  <si>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</si>
  <si>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</si>
  <si>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</si>
  <si>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</si>
  <si>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</si>
  <si>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</si>
  <si>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</si>
  <si>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</si>
  <si>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</si>
  <si>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</si>
  <si>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</si>
  <si>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</si>
  <si>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</si>
  <si>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</si>
  <si>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</si>
  <si>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</si>
  <si>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</si>
  <si>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</si>
  <si>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</si>
  <si>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</si>
  <si>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</si>
  <si>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</si>
  <si>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</si>
  <si>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</si>
  <si>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</si>
  <si>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</si>
  <si>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</si>
  <si>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</si>
  <si>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</si>
  <si>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</si>
  <si>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</si>
  <si>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</si>
  <si>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</si>
  <si>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</si>
  <si>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</si>
  <si>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</si>
  <si>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</si>
  <si>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</si>
  <si>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</si>
  <si>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</si>
  <si>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</si>
  <si>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</si>
  <si>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</si>
  <si>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</si>
  <si>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</si>
  <si>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</si>
  <si>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</si>
  <si>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</si>
  <si>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</si>
  <si>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</si>
  <si>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</si>
  <si>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</si>
  <si>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</si>
  <si>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</si>
  <si>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</si>
  <si>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</si>
  <si>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</si>
  <si>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</si>
  <si>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</si>
  <si>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</si>
  <si>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</si>
  <si>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</si>
  <si>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</si>
  <si>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</si>
  <si>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</si>
  <si>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</si>
  <si>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</si>
  <si>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</si>
  <si>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</si>
  <si>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</si>
  <si>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</si>
  <si>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</si>
  <si>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</si>
  <si>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</si>
  <si>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</si>
  <si>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</si>
  <si>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</si>
  <si>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</si>
  <si>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</si>
  <si>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</si>
  <si>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</si>
  <si>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</si>
  <si>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</si>
  <si>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</si>
  <si>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</si>
  <si>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</si>
  <si>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</si>
  <si>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</si>
  <si>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</si>
  <si>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</si>
  <si>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</si>
  <si>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</si>
  <si>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</si>
  <si>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</si>
  <si>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</si>
  <si>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</si>
  <si>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</si>
  <si>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</si>
  <si>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</si>
  <si>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</si>
  <si>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</si>
  <si>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</si>
  <si>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</si>
  <si>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</si>
  <si>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</si>
  <si>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</si>
  <si>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</si>
  <si>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</si>
  <si>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</si>
  <si>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</si>
  <si>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</si>
  <si>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</si>
  <si>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</si>
  <si>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</si>
  <si>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</si>
  <si>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</si>
  <si>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</si>
  <si>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</si>
  <si>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</si>
  <si>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</si>
  <si>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</si>
  <si>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</si>
  <si>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</si>
  <si>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</si>
  <si>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</si>
  <si>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</si>
  <si>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</si>
  <si>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</si>
  <si>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</si>
  <si>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</si>
  <si>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</si>
  <si>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</si>
  <si>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</si>
  <si>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</si>
  <si>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</si>
  <si>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</si>
  <si>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</si>
  <si>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</si>
  <si>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</si>
  <si>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</si>
  <si>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</si>
  <si>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</si>
  <si>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</si>
  <si>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</si>
  <si>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</si>
  <si>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</si>
  <si>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</si>
  <si>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</si>
  <si>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</si>
  <si>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</si>
  <si>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</si>
  <si>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</si>
  <si>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</si>
  <si>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</si>
  <si>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</si>
  <si>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</si>
  <si>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</si>
  <si>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</si>
  <si>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</si>
  <si>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</si>
  <si>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</si>
  <si>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</si>
  <si>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</si>
  <si>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</si>
  <si>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</si>
  <si>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</si>
  <si>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</si>
  <si>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</si>
  <si>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</si>
  <si>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</si>
  <si>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</si>
  <si>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</si>
  <si>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</si>
  <si>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</si>
  <si>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</si>
  <si>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</si>
  <si>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</si>
  <si>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</si>
  <si>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</si>
  <si>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</si>
  <si>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</si>
  <si>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</si>
  <si>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</si>
  <si>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</si>
  <si>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</si>
  <si>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</si>
  <si>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</si>
  <si>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</si>
  <si>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</si>
  <si>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</si>
  <si>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</si>
  <si>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</si>
  <si>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</si>
  <si>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</si>
  <si>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</si>
  <si>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</si>
  <si>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</si>
  <si>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</si>
  <si>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</si>
  <si>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</si>
  <si>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</si>
  <si>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</si>
  <si>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</si>
  <si>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</si>
  <si>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</si>
  <si>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</si>
  <si>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</si>
  <si>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</si>
  <si>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</si>
  <si>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</si>
  <si>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</si>
  <si>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</si>
  <si>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</si>
  <si>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</si>
  <si>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</si>
  <si>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</si>
  <si>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</si>
  <si>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</si>
  <si>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</si>
  <si>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</si>
  <si>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</si>
  <si>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</si>
  <si>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</si>
  <si>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</si>
  <si>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</si>
  <si>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</si>
  <si>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</si>
  <si>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</si>
  <si>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</si>
  <si>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</si>
  <si>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</si>
  <si>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</si>
  <si>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</si>
  <si>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</si>
  <si>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</si>
  <si>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</si>
  <si>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</si>
  <si>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</si>
  <si>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</si>
  <si>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</si>
  <si>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</si>
  <si>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</si>
  <si>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</si>
  <si>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</si>
  <si>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</si>
  <si>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</si>
  <si>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</si>
  <si>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</si>
  <si>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</si>
  <si>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</si>
  <si>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</si>
  <si>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</si>
  <si>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</si>
  <si>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</si>
  <si>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</si>
  <si>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</si>
  <si>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</si>
  <si>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</si>
  <si>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</si>
  <si>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</si>
  <si>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</si>
  <si>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</si>
  <si>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</si>
  <si>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</si>
  <si>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</si>
  <si>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</si>
  <si>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</si>
  <si>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</si>
  <si>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</si>
  <si>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</si>
  <si>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</si>
  <si>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</si>
  <si>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</si>
  <si>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</si>
  <si>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</si>
  <si>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</si>
  <si>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</si>
  <si>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</si>
  <si>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</si>
  <si>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</si>
  <si>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</si>
  <si>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</si>
  <si>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</si>
  <si>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</si>
  <si>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</si>
  <si>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</si>
  <si>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</si>
  <si>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</si>
  <si>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</si>
  <si>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</si>
  <si>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</si>
  <si>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</si>
  <si>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</si>
  <si>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</si>
  <si>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</si>
  <si>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</si>
  <si>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</si>
  <si>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</si>
  <si>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</si>
  <si>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</si>
  <si>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</si>
  <si>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</si>
  <si>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</si>
  <si>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</si>
  <si>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</si>
  <si>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</si>
  <si>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</si>
  <si>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</si>
  <si>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</si>
  <si>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</si>
  <si>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</si>
  <si>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</si>
  <si>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</si>
  <si>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</si>
  <si>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</si>
  <si>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</si>
  <si>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</si>
  <si>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</si>
  <si>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</si>
  <si>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</si>
  <si>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</si>
  <si>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</si>
  <si>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</si>
  <si>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</si>
  <si>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</si>
  <si>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</si>
  <si>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</si>
  <si>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</si>
  <si>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</si>
  <si>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</si>
  <si>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</si>
  <si>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</si>
  <si>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</si>
  <si>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</si>
  <si>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</si>
  <si>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</si>
  <si>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</si>
  <si>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</si>
  <si>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</si>
  <si>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</si>
  <si>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</si>
  <si>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</si>
  <si>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</si>
  <si>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</si>
  <si>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</si>
  <si>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</si>
  <si>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</si>
  <si>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</si>
  <si>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</si>
  <si>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</si>
  <si>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</si>
  <si>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</si>
  <si>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</si>
  <si>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</si>
  <si>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</si>
  <si>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</si>
  <si>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</si>
  <si>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</si>
  <si>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</si>
  <si>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</si>
  <si>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</si>
  <si>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</si>
  <si>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</si>
  <si>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</si>
  <si>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</si>
  <si>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</si>
  <si>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</si>
  <si>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</si>
  <si>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</si>
  <si>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</si>
  <si>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</si>
  <si>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</si>
  <si>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</si>
  <si>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</si>
  <si>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</si>
  <si>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</si>
  <si>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</si>
  <si>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</si>
  <si>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</si>
  <si>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</si>
  <si>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</si>
  <si>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</si>
  <si>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</si>
  <si>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</si>
  <si>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</si>
  <si>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</si>
  <si>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</si>
  <si>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</si>
  <si>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</si>
  <si>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</si>
  <si>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</si>
  <si>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</si>
  <si>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</si>
  <si>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</si>
  <si>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</si>
  <si>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</si>
  <si>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</si>
  <si>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</si>
  <si>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</si>
  <si>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</si>
  <si>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</si>
  <si>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</si>
  <si>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</si>
  <si>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</si>
  <si>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</si>
  <si>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</si>
  <si>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</si>
  <si>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</si>
  <si>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</si>
  <si>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</si>
  <si>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</si>
  <si>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</si>
  <si>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</si>
  <si>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</si>
  <si>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</si>
  <si>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</si>
  <si>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</si>
  <si>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</si>
  <si>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</si>
  <si>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</si>
  <si>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</si>
  <si>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</si>
  <si>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</si>
  <si>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</si>
  <si>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</si>
  <si>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</si>
  <si>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</si>
  <si>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</si>
  <si>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</si>
  <si>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</si>
  <si>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</si>
  <si>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</si>
  <si>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</si>
  <si>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</si>
  <si>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</si>
  <si>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</si>
  <si>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</si>
  <si>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</si>
  <si>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</si>
  <si>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</si>
  <si>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</si>
  <si>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</si>
  <si>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</si>
  <si>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</si>
  <si>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</si>
  <si>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</si>
  <si>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</si>
  <si>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</si>
  <si>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</si>
  <si>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</si>
  <si>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</si>
  <si>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</si>
  <si>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</si>
  <si>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</si>
  <si>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</si>
  <si>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</si>
  <si>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</si>
  <si>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</si>
  <si>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</si>
  <si>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</si>
  <si>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</si>
  <si>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</si>
  <si>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</si>
  <si>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</si>
  <si>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</si>
  <si>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</si>
  <si>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</si>
  <si>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</si>
  <si>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</si>
  <si>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</si>
  <si>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</si>
  <si>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</si>
  <si>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</si>
  <si>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</si>
  <si>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</si>
  <si>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</si>
  <si>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</si>
  <si>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</si>
  <si>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</si>
  <si>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</si>
  <si>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</si>
  <si>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</si>
  <si>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</si>
  <si>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</si>
  <si>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</si>
  <si>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</si>
  <si>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</si>
  <si>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</si>
  <si>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</si>
  <si>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</si>
  <si>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</si>
  <si>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</si>
  <si>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</si>
  <si>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</si>
  <si>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</si>
  <si>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</si>
  <si>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</si>
  <si>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</si>
  <si>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</si>
  <si>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</si>
  <si>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</si>
  <si>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</si>
  <si>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</si>
  <si>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</si>
  <si>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</si>
  <si>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</si>
  <si>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</si>
  <si>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</si>
  <si>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</si>
  <si>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</si>
  <si>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</si>
  <si>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</si>
  <si>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</si>
  <si>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</si>
  <si>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</si>
  <si>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</si>
  <si>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</si>
  <si>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</si>
  <si>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</si>
  <si>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</si>
  <si>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</si>
  <si>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</si>
  <si>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</si>
  <si>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</si>
  <si>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</si>
  <si>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</si>
  <si>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</si>
  <si>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</si>
  <si>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</si>
  <si>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</si>
  <si>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</si>
  <si>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</si>
  <si>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</si>
  <si>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</si>
  <si>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</si>
  <si>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</si>
  <si>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</si>
  <si>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</si>
  <si>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</si>
  <si>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</si>
  <si>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</si>
  <si>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</si>
  <si>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</si>
  <si>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</si>
  <si>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</si>
  <si>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</si>
  <si>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</si>
  <si>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</si>
  <si>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</si>
  <si>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</si>
  <si>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</si>
  <si>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</si>
  <si>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</si>
  <si>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</si>
  <si>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</si>
  <si>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</si>
  <si>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</si>
  <si>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</si>
  <si>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</si>
  <si>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</si>
  <si>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</si>
  <si>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</si>
  <si>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</si>
  <si>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</si>
  <si>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</si>
  <si>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</si>
  <si>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</si>
  <si>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</si>
  <si>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</si>
  <si>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</si>
  <si>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</si>
  <si>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</si>
  <si>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</si>
  <si>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</si>
  <si>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</si>
  <si>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</si>
  <si>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</si>
  <si>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</si>
  <si>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</si>
  <si>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</si>
  <si>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</si>
  <si>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</si>
  <si>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</si>
  <si>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</si>
  <si>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</si>
  <si>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</si>
  <si>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</si>
  <si>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</si>
  <si>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</si>
  <si>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</si>
  <si>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</si>
  <si>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</si>
  <si>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</si>
  <si>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</si>
  <si>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</si>
  <si>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</si>
  <si>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</si>
  <si>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</si>
  <si>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</si>
  <si>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</si>
  <si>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</si>
  <si>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</si>
  <si>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</si>
  <si>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</si>
  <si>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</si>
  <si>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</si>
  <si>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</si>
  <si>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</si>
  <si>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</si>
  <si>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</si>
  <si>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</si>
  <si>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</si>
  <si>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</si>
  <si>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</si>
  <si>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</si>
  <si>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</si>
  <si>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</si>
  <si>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</si>
  <si>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</si>
  <si>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</si>
  <si>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</si>
  <si>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</si>
  <si>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</si>
  <si>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</si>
  <si>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</si>
  <si>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</si>
  <si>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</si>
  <si>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</si>
  <si>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</si>
  <si>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</si>
  <si>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</si>
  <si>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</si>
  <si>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</si>
  <si>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</si>
  <si>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</si>
  <si>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</si>
  <si>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</si>
  <si>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</si>
  <si>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</si>
  <si>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</si>
  <si>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</si>
  <si>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</si>
  <si>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</si>
  <si>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</si>
  <si>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</si>
  <si>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</si>
  <si>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</si>
  <si>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</si>
  <si>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</si>
  <si>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</si>
  <si>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</si>
  <si>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</si>
  <si>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</si>
  <si>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</si>
  <si>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</si>
  <si>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</si>
  <si>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</si>
  <si>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</si>
  <si>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</si>
  <si>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</si>
  <si>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</si>
  <si>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</si>
  <si>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</si>
  <si>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</si>
  <si>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</si>
  <si>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</si>
  <si>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</si>
  <si>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</si>
  <si>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</si>
  <si>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</si>
  <si>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</si>
  <si>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</si>
  <si>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</si>
  <si>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</si>
  <si>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</si>
  <si>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</si>
  <si>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</si>
  <si>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</si>
  <si>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</si>
  <si>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</si>
  <si>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</si>
  <si>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</si>
  <si>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</si>
  <si>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</si>
  <si>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</si>
  <si>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</si>
  <si>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</si>
  <si>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</si>
  <si>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</si>
  <si>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</si>
  <si>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</si>
  <si>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</si>
  <si>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</si>
  <si>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</si>
  <si>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</si>
  <si>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</si>
  <si>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</si>
  <si>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</si>
  <si>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</si>
  <si>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</si>
  <si>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</si>
  <si>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</si>
  <si>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</si>
  <si>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</si>
  <si>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</si>
  <si>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</si>
  <si>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</si>
  <si>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</si>
  <si>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</si>
  <si>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</si>
  <si>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</si>
  <si>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</si>
  <si>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</si>
  <si>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</si>
  <si>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</si>
  <si>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</si>
  <si>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</si>
  <si>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</si>
  <si>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</si>
  <si>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</si>
  <si>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</si>
  <si>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</si>
  <si>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</si>
  <si>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</si>
  <si>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</si>
  <si>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</si>
  <si>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</si>
  <si>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</si>
  <si>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</si>
  <si>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</si>
  <si>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</si>
  <si>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</si>
  <si>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</si>
  <si>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</si>
  <si>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</si>
  <si>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</si>
  <si>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</si>
  <si>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</si>
  <si>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</si>
  <si>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</si>
  <si>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</si>
  <si>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</si>
  <si>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</si>
  <si>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</si>
  <si>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</si>
  <si>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</si>
  <si>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</si>
  <si>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</si>
  <si>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</si>
  <si>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</si>
  <si>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</si>
  <si>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</si>
  <si>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</si>
  <si>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</si>
  <si>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</si>
  <si>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</si>
  <si>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</si>
  <si>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</si>
  <si>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</si>
  <si>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</si>
  <si>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</si>
  <si>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</si>
  <si>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</si>
  <si>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</si>
  <si>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</si>
  <si>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</si>
  <si>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</si>
  <si>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</si>
  <si>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</si>
  <si>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</si>
  <si>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</si>
  <si>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</si>
  <si>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</si>
  <si>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</si>
  <si>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</si>
  <si>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</si>
  <si>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</si>
  <si>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</si>
  <si>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</si>
  <si>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</si>
  <si>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</si>
  <si>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</si>
  <si>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</si>
  <si>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</si>
  <si>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</si>
  <si>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</si>
  <si>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</si>
  <si>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</si>
  <si>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</si>
  <si>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</si>
  <si>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</si>
  <si>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</si>
  <si>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</si>
  <si>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</si>
  <si>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</si>
  <si>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</si>
  <si>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</si>
  <si>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</si>
  <si>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</si>
  <si>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</si>
  <si>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</si>
  <si>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</si>
  <si>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</si>
  <si>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</si>
  <si>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</si>
  <si>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</si>
  <si>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</si>
  <si>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</si>
  <si>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</si>
  <si>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</si>
  <si>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</si>
  <si>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</si>
  <si>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</si>
  <si>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</si>
  <si>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</si>
  <si>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</si>
  <si>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</si>
  <si>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</si>
  <si>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</si>
  <si>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</si>
  <si>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</si>
  <si>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</si>
  <si>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</si>
  <si>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</si>
  <si>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</si>
  <si>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</si>
  <si>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</si>
  <si>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</si>
  <si>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</si>
  <si>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</si>
  <si>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</si>
  <si>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</si>
  <si>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</si>
  <si>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</si>
  <si>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</si>
  <si>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</si>
  <si>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</si>
  <si>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</si>
  <si>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</si>
  <si>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</si>
  <si>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</si>
  <si>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</si>
  <si>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</si>
  <si>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</si>
  <si>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</si>
  <si>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</si>
  <si>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</si>
  <si>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</si>
  <si>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</si>
  <si>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</si>
  <si>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</si>
  <si>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</si>
  <si>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</si>
  <si>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</si>
  <si>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</si>
  <si>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</si>
  <si>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</si>
  <si>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</si>
  <si>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</si>
  <si>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</si>
  <si>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</si>
  <si>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</si>
  <si>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</si>
  <si>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</si>
  <si>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</si>
  <si>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</si>
  <si>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</si>
  <si>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</si>
  <si>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</si>
  <si>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</si>
  <si>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</si>
  <si>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</si>
  <si>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</si>
  <si>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</si>
  <si>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</si>
  <si>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</si>
  <si>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</si>
  <si>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</si>
  <si>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</si>
  <si>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</si>
  <si>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</si>
  <si>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</si>
  <si>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</si>
  <si>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</si>
  <si>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</si>
  <si>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</si>
  <si>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</si>
  <si>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</si>
  <si>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</si>
  <si>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</si>
  <si>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</si>
  <si>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</si>
  <si>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</si>
  <si>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</si>
  <si>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</si>
  <si>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</si>
  <si>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</si>
  <si>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</si>
  <si>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</si>
  <si>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</si>
  <si>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</si>
  <si>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</si>
  <si>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</si>
  <si>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</si>
  <si>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</si>
  <si>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</si>
  <si>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</si>
  <si>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</si>
  <si>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</si>
  <si>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</si>
  <si>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</si>
  <si>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</si>
  <si>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</si>
  <si>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</si>
  <si>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</si>
  <si>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</si>
  <si>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</si>
  <si>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</si>
  <si>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</si>
  <si>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</si>
  <si>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</si>
  <si>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</si>
  <si>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</si>
  <si>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</si>
  <si>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</si>
  <si>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</si>
  <si>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</si>
  <si>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</si>
  <si>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</si>
  <si>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</si>
  <si>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</si>
  <si>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</si>
  <si>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</si>
  <si>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</si>
  <si>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</si>
  <si>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</si>
  <si>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</si>
  <si>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</si>
  <si>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</si>
  <si>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</si>
  <si>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</si>
  <si>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</si>
  <si>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</si>
  <si>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</si>
  <si>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</si>
  <si>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</si>
  <si>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</si>
  <si>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</si>
  <si>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</si>
  <si>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</si>
  <si>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</si>
  <si>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</si>
  <si>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</si>
  <si>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</si>
  <si>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</si>
  <si>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</si>
  <si>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</si>
  <si>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</si>
  <si>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</si>
  <si>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</si>
  <si>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</si>
  <si>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</si>
  <si>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</si>
  <si>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</si>
  <si>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</si>
  <si>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</si>
  <si>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</si>
  <si>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</si>
  <si>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</si>
  <si>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</si>
  <si>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</si>
  <si>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</si>
  <si>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</si>
  <si>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</si>
  <si>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</si>
  <si>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</si>
  <si>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</si>
  <si>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</si>
  <si>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</si>
  <si>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</si>
  <si>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</si>
  <si>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</si>
  <si>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</si>
  <si>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</si>
  <si>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</si>
  <si>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</si>
  <si>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</si>
  <si>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</si>
  <si>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</si>
  <si>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</si>
  <si>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</si>
  <si>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</si>
  <si>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</si>
  <si>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</si>
  <si>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</si>
  <si>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</si>
  <si>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</si>
  <si>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</si>
  <si>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</si>
  <si>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</si>
  <si>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</si>
  <si>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</si>
  <si>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</si>
  <si>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</si>
  <si>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</si>
  <si>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</si>
  <si>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</si>
  <si>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</si>
  <si>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</si>
  <si>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</si>
  <si>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</si>
  <si>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</si>
  <si>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</si>
  <si>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</si>
  <si>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</si>
  <si>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</si>
  <si>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</si>
  <si>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</si>
  <si>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</si>
  <si>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</si>
  <si>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</si>
  <si>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</si>
  <si>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</si>
  <si>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</si>
  <si>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</si>
  <si>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</si>
  <si>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</si>
  <si>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</si>
  <si>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</si>
  <si>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</si>
  <si>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</si>
  <si>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</si>
  <si>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</si>
  <si>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</si>
  <si>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</si>
  <si>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</si>
  <si>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</si>
  <si>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</si>
  <si>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</si>
  <si>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</si>
  <si>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</si>
  <si>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</si>
  <si>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</si>
  <si>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</si>
  <si>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</si>
  <si>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</si>
  <si>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</si>
  <si>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</si>
  <si>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</si>
  <si>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</si>
  <si>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</si>
  <si>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</si>
  <si>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</si>
  <si>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</si>
  <si>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</si>
  <si>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</si>
  <si>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</si>
  <si>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</si>
  <si>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</si>
  <si>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</si>
  <si>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</si>
  <si>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</si>
  <si>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</si>
  <si>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</si>
  <si>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</si>
  <si>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</si>
  <si>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</si>
  <si>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</si>
  <si>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</si>
  <si>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</si>
  <si>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</si>
  <si>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</si>
  <si>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</si>
  <si>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</si>
  <si>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</si>
  <si>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</si>
  <si>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</si>
  <si>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</si>
  <si>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</si>
  <si>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</si>
  <si>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</si>
  <si>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</si>
  <si>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</si>
  <si>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</si>
  <si>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</si>
  <si>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</si>
  <si>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</si>
  <si>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</si>
  <si>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</si>
  <si>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</si>
  <si>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</si>
  <si>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</si>
  <si>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</si>
  <si>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</si>
  <si>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</si>
  <si>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</si>
  <si>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</si>
  <si>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</si>
  <si>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</si>
  <si>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</si>
  <si>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</si>
  <si>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</si>
  <si>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</si>
  <si>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</si>
  <si>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</si>
  <si>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</si>
  <si>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</si>
  <si>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</si>
  <si>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</si>
  <si>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</si>
  <si>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</si>
  <si>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</si>
  <si>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</si>
  <si>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</si>
  <si>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</si>
  <si>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</si>
  <si>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</si>
  <si>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</si>
  <si>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</si>
  <si>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</si>
  <si>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</si>
  <si>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</si>
  <si>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</si>
  <si>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</si>
  <si>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</si>
  <si>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</si>
  <si>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</si>
  <si>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</si>
  <si>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</si>
  <si>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</si>
  <si>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</si>
  <si>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</si>
  <si>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</si>
  <si>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</si>
  <si>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</si>
  <si>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</si>
  <si>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</si>
  <si>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</si>
  <si>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</si>
  <si>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</si>
  <si>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</si>
  <si>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</si>
  <si>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</si>
  <si>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</si>
  <si>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</si>
  <si>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</si>
  <si>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</si>
  <si>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</si>
  <si>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</si>
  <si>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</si>
  <si>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</si>
  <si>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</si>
  <si>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</si>
  <si>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</si>
  <si>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</si>
  <si>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</si>
  <si>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</si>
  <si>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</si>
  <si>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</si>
  <si>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</si>
  <si>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</si>
  <si>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</si>
  <si>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</si>
  <si>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</si>
  <si>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</si>
  <si>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</si>
  <si>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</si>
  <si>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</si>
  <si>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</si>
  <si>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</si>
  <si>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</si>
  <si>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</si>
  <si>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</si>
  <si>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</si>
  <si>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</si>
  <si>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</si>
  <si>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</si>
  <si>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</si>
  <si>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</si>
  <si>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</si>
  <si>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</si>
  <si>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</si>
  <si>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</si>
  <si>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</si>
  <si>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</si>
  <si>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</si>
  <si>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</si>
  <si>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</si>
  <si>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</si>
  <si>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</si>
  <si>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</si>
  <si>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</si>
  <si>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</si>
  <si>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</si>
  <si>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</si>
  <si>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</si>
  <si>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</si>
  <si>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</si>
  <si>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</si>
  <si>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</si>
  <si>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</si>
  <si>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</si>
  <si>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</si>
  <si>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</si>
  <si>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</si>
  <si>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</si>
  <si>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</si>
  <si>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</si>
  <si>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</si>
  <si>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</si>
  <si>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</si>
  <si>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</si>
  <si>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</si>
  <si>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</si>
  <si>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</si>
  <si>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</si>
  <si>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</si>
  <si>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</si>
  <si>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</si>
  <si>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</si>
  <si>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</si>
  <si>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</si>
  <si>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</si>
  <si>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</si>
  <si>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</si>
  <si>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</si>
  <si>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</si>
  <si>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</si>
  <si>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</si>
  <si>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</si>
  <si>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</si>
  <si>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</si>
  <si>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</si>
  <si>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</si>
  <si>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</si>
  <si>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</si>
  <si>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</si>
  <si>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</si>
  <si>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</si>
  <si>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</si>
  <si>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</si>
  <si>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</si>
  <si>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</si>
  <si>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</si>
  <si>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</si>
  <si>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</si>
  <si>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</si>
  <si>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</si>
  <si>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</si>
  <si>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</si>
  <si>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</si>
  <si>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</si>
  <si>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</si>
  <si>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</si>
  <si>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</si>
  <si>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</si>
  <si>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</si>
  <si>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</si>
  <si>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</si>
  <si>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</si>
  <si>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</si>
  <si>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</si>
  <si>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</si>
  <si>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</si>
  <si>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</si>
  <si>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</si>
  <si>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</si>
  <si>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</si>
  <si>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</si>
  <si>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</si>
  <si>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</si>
  <si>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</si>
  <si>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</si>
  <si>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</si>
  <si>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</si>
  <si>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</si>
  <si>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</si>
  <si>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</si>
  <si>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</si>
  <si>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</si>
  <si>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</si>
  <si>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</si>
  <si>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</si>
  <si>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</si>
  <si>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</si>
  <si>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</si>
  <si>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</si>
  <si>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</si>
  <si>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</si>
  <si>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</si>
  <si>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</si>
  <si>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</si>
  <si>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</si>
  <si>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</si>
  <si>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</si>
  <si>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</si>
  <si>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</si>
  <si>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</si>
  <si>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</si>
  <si>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</si>
  <si>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</si>
  <si>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</si>
  <si>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</si>
  <si>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</si>
  <si>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</si>
  <si>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</si>
  <si>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</si>
  <si>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</si>
  <si>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</si>
  <si>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</si>
  <si>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</si>
  <si>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</si>
  <si>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</si>
  <si>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</si>
  <si>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</si>
  <si>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</si>
  <si>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</si>
  <si>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</si>
  <si>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</si>
  <si>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</si>
  <si>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</si>
  <si>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</si>
  <si>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</si>
  <si>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</si>
  <si>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</si>
  <si>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</si>
  <si>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</si>
  <si>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</si>
  <si>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</si>
  <si>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</si>
  <si>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</si>
  <si>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</si>
  <si>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</si>
  <si>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</si>
  <si>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</si>
  <si>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</si>
  <si>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</si>
  <si>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</si>
  <si>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</si>
  <si>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</si>
  <si>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</si>
  <si>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</si>
  <si>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</si>
  <si>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</si>
  <si>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</si>
  <si>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</si>
  <si>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</si>
  <si>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</si>
  <si>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</si>
  <si>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</si>
  <si>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</si>
  <si>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</si>
  <si>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</si>
  <si>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</si>
  <si>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</si>
  <si>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</si>
  <si>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</si>
  <si>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</si>
  <si>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</si>
  <si>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</si>
  <si>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</si>
  <si>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</si>
  <si>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</si>
  <si>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</si>
  <si>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</si>
  <si>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</si>
  <si>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</si>
  <si>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</si>
  <si>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</si>
  <si>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</si>
  <si>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</si>
  <si>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</si>
  <si>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</si>
  <si>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</si>
  <si>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</si>
  <si>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</si>
  <si>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</si>
  <si>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</si>
  <si>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</si>
  <si>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</si>
  <si>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</si>
  <si>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</si>
  <si>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</si>
  <si>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</si>
  <si>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</si>
  <si>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</si>
  <si>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</si>
  <si>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</si>
  <si>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</si>
  <si>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</si>
  <si>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</si>
  <si>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</si>
  <si>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</si>
  <si>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</si>
  <si>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</si>
  <si>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</si>
  <si>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</si>
  <si>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</si>
  <si>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</si>
  <si>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</si>
  <si>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</si>
  <si>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</si>
  <si>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</si>
  <si>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</si>
  <si>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</si>
  <si>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</si>
  <si>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</si>
  <si>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</si>
  <si>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</si>
  <si>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</si>
  <si>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</si>
  <si>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</si>
  <si>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</si>
  <si>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</si>
  <si>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</si>
  <si>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</si>
  <si>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</si>
  <si>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</si>
  <si>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</si>
  <si>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</si>
  <si>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</si>
  <si>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</si>
  <si>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</si>
  <si>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</si>
  <si>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</si>
  <si>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</si>
  <si>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</si>
  <si>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</si>
  <si>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</si>
  <si>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</si>
  <si>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</si>
  <si>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</si>
  <si>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</si>
  <si>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</si>
  <si>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</si>
  <si>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</si>
  <si>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</si>
  <si>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</si>
  <si>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</si>
  <si>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</si>
  <si>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</si>
  <si>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</si>
  <si>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</si>
  <si>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</si>
  <si>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</si>
  <si>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</si>
  <si>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</si>
  <si>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</si>
  <si>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</si>
  <si>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</si>
  <si>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</si>
  <si>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</si>
  <si>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</si>
  <si>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</si>
  <si>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</si>
  <si>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</si>
  <si>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89801268320</t>
  </si>
  <si>
    <t>02678535</t>
  </si>
  <si>
    <t>060264886</t>
  </si>
  <si>
    <t>SPLITSKA OBALA d.o.o.</t>
  </si>
  <si>
    <t>SPLIT</t>
  </si>
  <si>
    <t>Ulica kralja Zvonimira 14</t>
  </si>
  <si>
    <t>info@splitskaobala.hr</t>
  </si>
  <si>
    <t>www.splitskaobala.hr</t>
  </si>
  <si>
    <t>021/355-139</t>
  </si>
  <si>
    <t>Ivana Kapović</t>
  </si>
  <si>
    <t>ivana.kapovic@splitskaobala.hr</t>
  </si>
  <si>
    <t>Marijan Ciprijan</t>
  </si>
  <si>
    <t>4</t>
  </si>
  <si>
    <t>5</t>
  </si>
  <si>
    <t>6</t>
  </si>
  <si>
    <t>7</t>
  </si>
  <si>
    <t>8</t>
  </si>
  <si>
    <t>10</t>
  </si>
  <si>
    <t>11</t>
  </si>
  <si>
    <t>12</t>
  </si>
  <si>
    <t>13</t>
  </si>
  <si>
    <t>14</t>
  </si>
  <si>
    <t>15</t>
  </si>
  <si>
    <t>16</t>
  </si>
  <si>
    <t>17</t>
  </si>
  <si>
    <t>18</t>
  </si>
  <si>
    <t>19</t>
  </si>
  <si>
    <t>21</t>
  </si>
  <si>
    <t>10.1.</t>
  </si>
  <si>
    <t>10.2.</t>
  </si>
  <si>
    <t>14.1.</t>
  </si>
  <si>
    <t>14.2.</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</si>
</sst>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908031.1599999999</v>
      </c>
      <c r="I3" s="27">
        <f>ABS(ROUND(J3,0)-J3)+ABS(ROUND(K3,0)-K3)</f>
        <v>0</v>
      </c>
      <c r="J3" s="27">
        <f>Bilanca!I10</f>
        <v>15747886</v>
      </c>
      <c r="K3" s="27">
        <f>Bilanca!J10</f>
        <v>14826836</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02678535</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060264886</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89801268320</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SPLITSKA OBALA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21000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SPLIT</v>
      </c>
      <c r="D11" s="4" t="s">
        <v>554</v>
      </c>
      <c r="E11" s="4">
        <v>1</v>
      </c>
      <c r="F11" s="4">
        <f>Bilanca!G18</f>
        <v>10</v>
      </c>
      <c r="G11" s="4" t="str">
        <f>IF(Bilanca!H18=0,"",Bilanca!H18)</f>
        <v>4</v>
      </c>
      <c r="H11" s="26">
        <f t="shared" si="0"/>
        <v>4540155.8</v>
      </c>
      <c r="I11" s="27">
        <f t="shared" si="1"/>
        <v>0</v>
      </c>
      <c r="J11" s="27">
        <f>Bilanca!I18</f>
        <v>15747886</v>
      </c>
      <c r="K11" s="27">
        <f>Bilanca!J18</f>
        <v>14826836</v>
      </c>
    </row>
    <row r="12" spans="1:11" ht="12.75">
      <c r="A12" s="4" t="s">
        <v>2738</v>
      </c>
      <c r="B12" s="25" t="str">
        <f>TRIM(RefStr!C33)</f>
        <v>Ulica kralja Zvonimira 14</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info@splitskaobala.hr</v>
      </c>
      <c r="D13" s="4" t="s">
        <v>554</v>
      </c>
      <c r="E13" s="4">
        <v>1</v>
      </c>
      <c r="F13" s="4">
        <f>Bilanca!G20</f>
        <v>12</v>
      </c>
      <c r="G13" s="4">
        <f>IF(Bilanca!H20=0,"",Bilanca!H20)</f>
      </c>
      <c r="H13" s="26">
        <f t="shared" si="0"/>
        <v>4985821.92</v>
      </c>
      <c r="I13" s="27">
        <f t="shared" si="1"/>
        <v>0</v>
      </c>
      <c r="J13" s="27">
        <f>Bilanca!I20</f>
        <v>14387216</v>
      </c>
      <c r="K13" s="27">
        <f>Bilanca!J20</f>
        <v>13580650</v>
      </c>
    </row>
    <row r="14" spans="1:11" ht="12.75">
      <c r="A14" s="4" t="s">
        <v>2885</v>
      </c>
      <c r="B14" s="25" t="str">
        <f>TRIM(RefStr!C37)</f>
        <v>www.splitskaobala.hr</v>
      </c>
      <c r="D14" s="4" t="s">
        <v>554</v>
      </c>
      <c r="E14" s="4">
        <v>1</v>
      </c>
      <c r="F14" s="4">
        <f>Bilanca!G21</f>
        <v>13</v>
      </c>
      <c r="G14" s="4">
        <f>IF(Bilanca!H21=0,"",Bilanca!H21)</f>
      </c>
      <c r="H14" s="26">
        <f t="shared" si="0"/>
        <v>455578.5</v>
      </c>
      <c r="I14" s="27">
        <f t="shared" si="1"/>
        <v>0</v>
      </c>
      <c r="J14" s="27">
        <f>Bilanca!I21</f>
        <v>1302900</v>
      </c>
      <c r="K14" s="27">
        <f>Bilanca!J21</f>
        <v>1100775</v>
      </c>
    </row>
    <row r="15" spans="1:11" ht="12.75">
      <c r="A15" s="4" t="s">
        <v>2741</v>
      </c>
      <c r="B15" s="25" t="str">
        <f>TEXT(RefStr!J39,"00")</f>
        <v>17</v>
      </c>
      <c r="D15" s="4" t="s">
        <v>554</v>
      </c>
      <c r="E15" s="4">
        <v>1</v>
      </c>
      <c r="F15" s="4">
        <f>Bilanca!G22</f>
        <v>14</v>
      </c>
      <c r="G15" s="4">
        <f>IF(Bilanca!H22=0,"",Bilanca!H22)</f>
      </c>
      <c r="H15" s="26">
        <f t="shared" si="0"/>
        <v>44201.08</v>
      </c>
      <c r="I15" s="27">
        <f t="shared" si="1"/>
        <v>0</v>
      </c>
      <c r="J15" s="27">
        <f>Bilanca!I22</f>
        <v>41608</v>
      </c>
      <c r="K15" s="27">
        <f>Bilanca!J22</f>
        <v>137057</v>
      </c>
    </row>
    <row r="16" spans="1:11" ht="12.75">
      <c r="A16" s="4" t="s">
        <v>2740</v>
      </c>
      <c r="B16" s="25" t="str">
        <f>TEXT(RefStr!C39,"000")</f>
        <v>409</v>
      </c>
      <c r="D16" s="4" t="s">
        <v>554</v>
      </c>
      <c r="E16" s="4">
        <v>1</v>
      </c>
      <c r="F16" s="4">
        <f>Bilanca!G23</f>
        <v>15</v>
      </c>
      <c r="G16" s="4">
        <f>IF(Bilanca!H23=0,"",Bilanca!H23)</f>
      </c>
      <c r="H16" s="26">
        <f t="shared" si="0"/>
        <v>4930.5</v>
      </c>
      <c r="I16" s="27">
        <f t="shared" si="1"/>
        <v>0</v>
      </c>
      <c r="J16" s="27">
        <f>Bilanca!I23</f>
        <v>16162</v>
      </c>
      <c r="K16" s="27">
        <f>Bilanca!J23</f>
        <v>8354</v>
      </c>
    </row>
    <row r="17" spans="1:11" ht="12.75">
      <c r="A17" s="4" t="s">
        <v>2739</v>
      </c>
      <c r="B17" s="25" t="str">
        <f>RefStr!C42</f>
        <v>6820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33</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32</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31</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31</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14613782.700000001</v>
      </c>
      <c r="I38" s="27">
        <f t="shared" si="1"/>
        <v>0</v>
      </c>
      <c r="J38" s="27">
        <f>Bilanca!I45</f>
        <v>12141134</v>
      </c>
      <c r="K38" s="27">
        <f>Bilanca!J45</f>
        <v>13677788</v>
      </c>
    </row>
    <row r="39" spans="1:11" ht="12.75">
      <c r="A39" s="4" t="s">
        <v>1611</v>
      </c>
      <c r="B39" s="25" t="str">
        <f>RefStr!C68</f>
        <v>Ivana Kapović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021/355-139</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ivana.kapovic@splitskaobala.hr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Marijan Ciprijan</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1007769.8400000001</v>
      </c>
      <c r="I47" s="27">
        <f t="shared" si="3"/>
        <v>0</v>
      </c>
      <c r="J47" s="27">
        <f>Bilanca!I54</f>
        <v>986396</v>
      </c>
      <c r="K47" s="27">
        <f>Bilanca!J54</f>
        <v>602204</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t="str">
        <f>IF(Bilanca!H57=0,"",Bilanca!H57)</f>
        <v>5</v>
      </c>
      <c r="H50" s="26">
        <f t="shared" si="2"/>
        <v>725361.21</v>
      </c>
      <c r="I50" s="27">
        <f t="shared" si="3"/>
        <v>0</v>
      </c>
      <c r="J50" s="27">
        <f>Bilanca!I57</f>
        <v>598257</v>
      </c>
      <c r="K50" s="27">
        <f>Bilanca!J57</f>
        <v>441036</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t="str">
        <f>IF(Bilanca!H59=0,"",Bilanca!H59)</f>
        <v>6</v>
      </c>
      <c r="H52" s="26">
        <f t="shared" si="2"/>
        <v>354370.95</v>
      </c>
      <c r="I52" s="27">
        <f t="shared" si="3"/>
        <v>0</v>
      </c>
      <c r="J52" s="27">
        <f>Bilanca!I59</f>
        <v>384323</v>
      </c>
      <c r="K52" s="27">
        <f>Bilanca!J59</f>
        <v>155261</v>
      </c>
    </row>
    <row r="53" spans="1:11" ht="12.75">
      <c r="A53" s="4" t="s">
        <v>1301</v>
      </c>
      <c r="B53" s="25" t="str">
        <f>RefStr!I56</f>
        <v>NE</v>
      </c>
      <c r="D53" s="4" t="s">
        <v>554</v>
      </c>
      <c r="E53" s="4">
        <v>1</v>
      </c>
      <c r="F53" s="4">
        <f>Bilanca!G60</f>
        <v>52</v>
      </c>
      <c r="G53" s="4" t="str">
        <f>IF(Bilanca!H60=0,"",Bilanca!H60)</f>
        <v>6</v>
      </c>
      <c r="H53" s="26">
        <f t="shared" si="2"/>
        <v>8127.599999999999</v>
      </c>
      <c r="I53" s="27">
        <f t="shared" si="3"/>
        <v>0</v>
      </c>
      <c r="J53" s="27">
        <f>Bilanca!I60</f>
        <v>3816</v>
      </c>
      <c r="K53" s="27">
        <f>Bilanca!J60</f>
        <v>5907</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1755480950.8500001</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7</v>
      </c>
      <c r="H64" s="26">
        <f t="shared" si="2"/>
        <v>23502720.78</v>
      </c>
      <c r="I64" s="27">
        <f t="shared" si="3"/>
        <v>0</v>
      </c>
      <c r="J64" s="27">
        <f>Bilanca!I71</f>
        <v>11154738</v>
      </c>
      <c r="K64" s="27">
        <f>Bilanca!J71</f>
        <v>13075584</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55183874.199999996</v>
      </c>
      <c r="I66" s="27">
        <f t="shared" si="3"/>
        <v>0</v>
      </c>
      <c r="J66" s="27">
        <f>Bilanca!I73</f>
        <v>27889020</v>
      </c>
      <c r="K66" s="27">
        <f>Bilanca!J73</f>
        <v>28504624</v>
      </c>
    </row>
    <row r="67" spans="1:11" ht="12.75">
      <c r="A67" s="4" t="s">
        <v>925</v>
      </c>
      <c r="B67" s="25" t="str">
        <f>TRIM(RefStr!L35)</f>
        <v>021/355-139</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t="str">
        <f>IF(Bilanca!H76=0,"",Bilanca!H76)</f>
        <v>8</v>
      </c>
      <c r="H68" s="26">
        <f t="shared" si="2"/>
        <v>16802624.48</v>
      </c>
      <c r="I68" s="27">
        <f t="shared" si="3"/>
        <v>0</v>
      </c>
      <c r="J68" s="27">
        <f>Bilanca!I76</f>
        <v>11093818</v>
      </c>
      <c r="K68" s="27">
        <f>Bilanca!J76</f>
        <v>6992363</v>
      </c>
    </row>
    <row r="69" spans="1:11" ht="12.75">
      <c r="A69" s="4" t="s">
        <v>927</v>
      </c>
      <c r="B69" s="25">
        <f>TRIM(RefStr!M46)</f>
      </c>
      <c r="D69" s="4" t="s">
        <v>554</v>
      </c>
      <c r="E69" s="4">
        <v>1</v>
      </c>
      <c r="F69" s="4">
        <f>Bilanca!G77</f>
        <v>68</v>
      </c>
      <c r="G69" s="4">
        <f>IF(Bilanca!H77=0,"",Bilanca!H77)</f>
      </c>
      <c r="H69" s="26">
        <f t="shared" si="2"/>
        <v>19216800</v>
      </c>
      <c r="I69" s="27">
        <f t="shared" si="3"/>
        <v>0</v>
      </c>
      <c r="J69" s="27">
        <f>Bilanca!I77</f>
        <v>9420000</v>
      </c>
      <c r="K69" s="27">
        <f>Bilanca!J77</f>
        <v>9420000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14000</v>
      </c>
      <c r="I71" s="27">
        <f t="shared" si="3"/>
        <v>0</v>
      </c>
      <c r="J71" s="27">
        <f>Bilanca!I79</f>
        <v>20000</v>
      </c>
      <c r="K71" s="27">
        <f>Bilanca!J79</f>
        <v>0</v>
      </c>
    </row>
    <row r="72" spans="4:11" ht="12.75">
      <c r="D72" s="4" t="s">
        <v>554</v>
      </c>
      <c r="E72" s="4">
        <v>1</v>
      </c>
      <c r="F72" s="4">
        <f>Bilanca!G80</f>
        <v>71</v>
      </c>
      <c r="G72" s="4">
        <f>IF(Bilanca!H80=0,"",Bilanca!H80)</f>
      </c>
      <c r="H72" s="26">
        <f t="shared" si="2"/>
        <v>14200</v>
      </c>
      <c r="I72" s="27">
        <f t="shared" si="3"/>
        <v>0</v>
      </c>
      <c r="J72" s="27">
        <f>Bilanca!I80</f>
        <v>20000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-4959858.39</v>
      </c>
      <c r="I84" s="27">
        <f t="shared" si="3"/>
        <v>0</v>
      </c>
      <c r="J84" s="27">
        <f>Bilanca!I92</f>
        <v>1579439</v>
      </c>
      <c r="K84" s="27">
        <f>Bilanca!J92</f>
        <v>-3777586</v>
      </c>
    </row>
    <row r="85" spans="4:11" ht="12.75">
      <c r="D85" s="4" t="s">
        <v>554</v>
      </c>
      <c r="E85" s="4">
        <v>1</v>
      </c>
      <c r="F85" s="4">
        <f>Bilanca!G93</f>
        <v>84</v>
      </c>
      <c r="G85" s="4">
        <f>IF(Bilanca!H93=0,"",Bilanca!H93)</f>
      </c>
      <c r="H85" s="26">
        <f t="shared" si="2"/>
        <v>1326728.76</v>
      </c>
      <c r="I85" s="27">
        <f t="shared" si="3"/>
        <v>0</v>
      </c>
      <c r="J85" s="27">
        <f>Bilanca!I93</f>
        <v>1579439</v>
      </c>
      <c r="K85" s="27">
        <f>Bilanca!J93</f>
        <v>0</v>
      </c>
    </row>
    <row r="86" spans="4:11" ht="12.75">
      <c r="D86" s="4" t="s">
        <v>554</v>
      </c>
      <c r="E86" s="4">
        <v>1</v>
      </c>
      <c r="F86" s="4">
        <f>Bilanca!G94</f>
        <v>85</v>
      </c>
      <c r="G86" s="4">
        <f>IF(Bilanca!H94=0,"",Bilanca!H94)</f>
      </c>
      <c r="H86" s="26">
        <f t="shared" si="2"/>
        <v>6421896.2</v>
      </c>
      <c r="I86" s="27">
        <f t="shared" si="3"/>
        <v>0</v>
      </c>
      <c r="J86" s="27">
        <f>Bilanca!I94</f>
        <v>0</v>
      </c>
      <c r="K86" s="27">
        <f>Bilanca!J94</f>
        <v>3777586</v>
      </c>
    </row>
    <row r="87" spans="4:11" ht="12.75">
      <c r="D87" s="4" t="s">
        <v>554</v>
      </c>
      <c r="E87" s="4">
        <v>1</v>
      </c>
      <c r="F87" s="4">
        <f>Bilanca!G95</f>
        <v>86</v>
      </c>
      <c r="G87" s="4">
        <f>IF(Bilanca!H95=0,"",Bilanca!H95)</f>
      </c>
      <c r="H87" s="26">
        <f>J87/100*F87+2*K87/100*F87</f>
        <v>2385878.2199999997</v>
      </c>
      <c r="I87" s="27">
        <f>ABS(ROUND(J87,0)-J87)+ABS(ROUND(K87,0)-K87)</f>
        <v>0</v>
      </c>
      <c r="J87" s="27">
        <f>Bilanca!I95</f>
        <v>74379</v>
      </c>
      <c r="K87" s="27">
        <f>Bilanca!J95</f>
        <v>1349949</v>
      </c>
    </row>
    <row r="88" spans="4:11" ht="12.75">
      <c r="D88" s="4" t="s">
        <v>554</v>
      </c>
      <c r="E88" s="4">
        <v>1</v>
      </c>
      <c r="F88" s="4">
        <f>Bilanca!G96</f>
        <v>87</v>
      </c>
      <c r="G88" s="4">
        <f>IF(Bilanca!H96=0,"",Bilanca!H96)</f>
      </c>
      <c r="H88" s="26">
        <f>J88/100*F88+2*K88/100*F88</f>
        <v>2413620.9899999998</v>
      </c>
      <c r="I88" s="27">
        <f>ABS(ROUND(J88,0)-J88)+ABS(ROUND(K88,0)-K88)</f>
        <v>0</v>
      </c>
      <c r="J88" s="27">
        <f>Bilanca!I96</f>
        <v>74379</v>
      </c>
      <c r="K88" s="27">
        <f>Bilanca!J96</f>
        <v>1349949</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566970.3</v>
      </c>
      <c r="I91" s="27">
        <f t="shared" si="5"/>
        <v>0</v>
      </c>
      <c r="J91" s="27">
        <f>Bilanca!I99</f>
        <v>629967</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592168.98</v>
      </c>
      <c r="I95" s="27">
        <f t="shared" si="5"/>
        <v>0</v>
      </c>
      <c r="J95" s="27">
        <f>Bilanca!I103</f>
        <v>629967</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t="str">
        <f>IF(Bilanca!H106=0,"",Bilanca!H106)</f>
        <v>10</v>
      </c>
      <c r="H98" s="26">
        <f t="shared" si="4"/>
        <v>14573677.700000001</v>
      </c>
      <c r="I98" s="27">
        <f t="shared" si="5"/>
        <v>0</v>
      </c>
      <c r="J98" s="27">
        <f>Bilanca!I106</f>
        <v>953890</v>
      </c>
      <c r="K98" s="27">
        <f>Bilanca!J106</f>
        <v>7035260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t="str">
        <f>IF(Bilanca!H109=0,"",Bilanca!H109)</f>
        <v>10.1.</v>
      </c>
      <c r="H101" s="26">
        <f t="shared" si="4"/>
        <v>2861670</v>
      </c>
      <c r="I101" s="27">
        <f t="shared" si="5"/>
        <v>0</v>
      </c>
      <c r="J101" s="27">
        <f>Bilanca!I109</f>
        <v>953890</v>
      </c>
      <c r="K101" s="27">
        <f>Bilanca!J109</f>
        <v>953890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t="str">
        <f>IF(Bilanca!H116=0,"",Bilanca!H116)</f>
        <v>10.2.</v>
      </c>
      <c r="H108" s="26">
        <f t="shared" si="4"/>
        <v>13014131.799999999</v>
      </c>
      <c r="I108" s="27">
        <f t="shared" si="5"/>
        <v>0</v>
      </c>
      <c r="J108" s="27">
        <f>Bilanca!I116</f>
        <v>0</v>
      </c>
      <c r="K108" s="27">
        <f>Bilanca!J116</f>
        <v>6081370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2994542.83</v>
      </c>
      <c r="I110" s="27">
        <f t="shared" si="5"/>
        <v>0</v>
      </c>
      <c r="J110" s="27">
        <f>Bilanca!I118</f>
        <v>862349</v>
      </c>
      <c r="K110" s="27">
        <f>Bilanca!J118</f>
        <v>942469</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t="str">
        <f>IF(Bilanca!H126=0,"",Bilanca!H126)</f>
        <v>11</v>
      </c>
      <c r="H118" s="26">
        <f t="shared" si="4"/>
        <v>1202311.8900000001</v>
      </c>
      <c r="I118" s="27">
        <f t="shared" si="5"/>
        <v>0</v>
      </c>
      <c r="J118" s="27">
        <f>Bilanca!I126</f>
        <v>446213</v>
      </c>
      <c r="K118" s="27">
        <f>Bilanca!J126</f>
        <v>290702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t="str">
        <f>IF(Bilanca!H128=0,"",Bilanca!H128)</f>
        <v>12</v>
      </c>
      <c r="H120" s="26">
        <f t="shared" si="4"/>
        <v>1158407.88</v>
      </c>
      <c r="I120" s="27">
        <f t="shared" si="5"/>
        <v>0</v>
      </c>
      <c r="J120" s="27">
        <f>Bilanca!I128</f>
        <v>257006</v>
      </c>
      <c r="K120" s="27">
        <f>Bilanca!J128</f>
        <v>358223</v>
      </c>
    </row>
    <row r="121" spans="4:11" ht="12.75">
      <c r="D121" s="4" t="s">
        <v>554</v>
      </c>
      <c r="E121" s="4">
        <v>1</v>
      </c>
      <c r="F121" s="4">
        <f>Bilanca!G129</f>
        <v>120</v>
      </c>
      <c r="G121" s="4" t="str">
        <f>IF(Bilanca!H129=0,"",Bilanca!H129)</f>
        <v>12</v>
      </c>
      <c r="H121" s="26">
        <f t="shared" si="4"/>
        <v>895461.6</v>
      </c>
      <c r="I121" s="27">
        <f t="shared" si="5"/>
        <v>0</v>
      </c>
      <c r="J121" s="27">
        <f>Bilanca!I129</f>
        <v>159130</v>
      </c>
      <c r="K121" s="27">
        <f>Bilanca!J129</f>
        <v>293544</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t="str">
        <f>IF(Bilanca!H133=0,"",Bilanca!H133)</f>
        <v>13</v>
      </c>
      <c r="H125" s="26">
        <f t="shared" si="4"/>
        <v>51358394.4</v>
      </c>
      <c r="I125" s="27">
        <f t="shared" si="5"/>
        <v>0</v>
      </c>
      <c r="J125" s="27">
        <f>Bilanca!I133</f>
        <v>14348996</v>
      </c>
      <c r="K125" s="27">
        <f>Bilanca!J133</f>
        <v>13534532</v>
      </c>
    </row>
    <row r="126" spans="4:11" ht="12.75">
      <c r="D126" s="4" t="s">
        <v>554</v>
      </c>
      <c r="E126" s="4">
        <v>1</v>
      </c>
      <c r="F126" s="4">
        <f>Bilanca!G134</f>
        <v>125</v>
      </c>
      <c r="G126" s="4">
        <f>IF(Bilanca!H134=0,"",Bilanca!H134)</f>
      </c>
      <c r="H126" s="26">
        <f t="shared" si="4"/>
        <v>106122835</v>
      </c>
      <c r="I126" s="27">
        <f t="shared" si="5"/>
        <v>0</v>
      </c>
      <c r="J126" s="27">
        <f>Bilanca!I134</f>
        <v>27889020</v>
      </c>
      <c r="K126" s="27">
        <f>Bilanca!J134</f>
        <v>28504624</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t="str">
        <f>IF(RDG!H8=0,"",RDG!H8)</f>
        <v>14</v>
      </c>
      <c r="H128" s="26">
        <f t="shared" si="4"/>
        <v>44374130.2</v>
      </c>
      <c r="I128" s="4">
        <f t="shared" si="5"/>
        <v>0</v>
      </c>
      <c r="J128" s="27">
        <f>RDG!I8</f>
        <v>9933102</v>
      </c>
      <c r="K128" s="27">
        <f>RDG!J8</f>
        <v>12503579</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t="str">
        <f>IF(RDG!H10=0,"",RDG!H10)</f>
        <v>14.1.</v>
      </c>
      <c r="H130" s="26">
        <f aca="true" t="shared" si="6" ref="H130:H192">J130/100*F130+2*K130/100*F130</f>
        <v>40904188.17</v>
      </c>
      <c r="I130" s="4">
        <f aca="true" t="shared" si="7" ref="I130:I192">ABS(ROUND(J130,0)-J130)+ABS(ROUND(K130,0)-K130)</f>
        <v>0</v>
      </c>
      <c r="J130" s="27">
        <f>RDG!I10</f>
        <v>8930243</v>
      </c>
      <c r="K130" s="27">
        <f>RDG!J10</f>
        <v>11389215</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t="str">
        <f>IF(RDG!H13=0,"",RDG!H13)</f>
        <v>14.2.</v>
      </c>
      <c r="H133" s="26">
        <f t="shared" si="6"/>
        <v>4265694.84</v>
      </c>
      <c r="I133" s="4">
        <f t="shared" si="7"/>
        <v>0</v>
      </c>
      <c r="J133" s="27">
        <f>RDG!I13</f>
        <v>1002859</v>
      </c>
      <c r="K133" s="27">
        <f>RDG!J13</f>
        <v>1114364</v>
      </c>
    </row>
    <row r="134" spans="4:11" ht="12.75">
      <c r="D134" s="4" t="s">
        <v>794</v>
      </c>
      <c r="E134" s="4">
        <v>2</v>
      </c>
      <c r="F134" s="4">
        <f>RDG!G14</f>
        <v>133</v>
      </c>
      <c r="G134" s="4">
        <f>IF(RDG!H14=0,"",RDG!H14)</f>
      </c>
      <c r="H134" s="26">
        <f t="shared" si="6"/>
        <v>42474101.95</v>
      </c>
      <c r="I134" s="4">
        <f t="shared" si="7"/>
        <v>0</v>
      </c>
      <c r="J134" s="27">
        <f>RDG!I14</f>
        <v>9623395</v>
      </c>
      <c r="K134" s="27">
        <f>RDG!J14</f>
        <v>11156010</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9664482.6</v>
      </c>
      <c r="I136" s="4">
        <f t="shared" si="7"/>
        <v>0</v>
      </c>
      <c r="J136" s="27">
        <f>RDG!I16</f>
        <v>2197204</v>
      </c>
      <c r="K136" s="27">
        <f>RDG!J16</f>
        <v>2480836</v>
      </c>
    </row>
    <row r="137" spans="4:11" ht="12.75">
      <c r="D137" s="4" t="s">
        <v>794</v>
      </c>
      <c r="E137" s="4">
        <v>2</v>
      </c>
      <c r="F137" s="4">
        <f>RDG!G17</f>
        <v>136</v>
      </c>
      <c r="G137" s="4" t="str">
        <f>IF(RDG!H17=0,"",RDG!H17)</f>
        <v>15</v>
      </c>
      <c r="H137" s="26">
        <f t="shared" si="6"/>
        <v>4536813.12</v>
      </c>
      <c r="I137" s="4">
        <f t="shared" si="7"/>
        <v>0</v>
      </c>
      <c r="J137" s="27">
        <f>RDG!I17</f>
        <v>966018</v>
      </c>
      <c r="K137" s="27">
        <f>RDG!J17</f>
        <v>1184937</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t="str">
        <f>IF(RDG!H19=0,"",RDG!H19)</f>
        <v>16</v>
      </c>
      <c r="H139" s="26">
        <f t="shared" si="6"/>
        <v>5275717.92</v>
      </c>
      <c r="I139" s="4">
        <f t="shared" si="7"/>
        <v>0</v>
      </c>
      <c r="J139" s="27">
        <f>RDG!I19</f>
        <v>1231186</v>
      </c>
      <c r="K139" s="27">
        <f>RDG!J19</f>
        <v>1295899</v>
      </c>
    </row>
    <row r="140" spans="4:11" ht="12.75">
      <c r="D140" s="4" t="s">
        <v>794</v>
      </c>
      <c r="E140" s="4">
        <v>2</v>
      </c>
      <c r="F140" s="4">
        <f>RDG!G20</f>
        <v>139</v>
      </c>
      <c r="G140" s="4" t="str">
        <f>IF(RDG!H20=0,"",RDG!H20)</f>
        <v>17</v>
      </c>
      <c r="H140" s="26">
        <f t="shared" si="6"/>
        <v>21748851.84</v>
      </c>
      <c r="I140" s="4">
        <f t="shared" si="7"/>
        <v>0</v>
      </c>
      <c r="J140" s="27">
        <f>RDG!I20</f>
        <v>4599290</v>
      </c>
      <c r="K140" s="27">
        <f>RDG!J20</f>
        <v>5523683</v>
      </c>
    </row>
    <row r="141" spans="4:11" ht="12.75">
      <c r="D141" s="4" t="s">
        <v>794</v>
      </c>
      <c r="E141" s="4">
        <v>2</v>
      </c>
      <c r="F141" s="4">
        <f>RDG!G21</f>
        <v>140</v>
      </c>
      <c r="G141" s="4">
        <f>IF(RDG!H21=0,"",RDG!H21)</f>
      </c>
      <c r="H141" s="26">
        <f t="shared" si="6"/>
        <v>13196307.600000001</v>
      </c>
      <c r="I141" s="4">
        <f t="shared" si="7"/>
        <v>0</v>
      </c>
      <c r="J141" s="27">
        <f>RDG!I21</f>
        <v>2798502</v>
      </c>
      <c r="K141" s="27">
        <f>RDG!J21</f>
        <v>3313716</v>
      </c>
    </row>
    <row r="142" spans="4:11" ht="12.75">
      <c r="D142" s="4" t="s">
        <v>794</v>
      </c>
      <c r="E142" s="4">
        <v>2</v>
      </c>
      <c r="F142" s="4">
        <f>RDG!G22</f>
        <v>141</v>
      </c>
      <c r="G142" s="4">
        <f>IF(RDG!H22=0,"",RDG!H22)</f>
      </c>
      <c r="H142" s="26">
        <f t="shared" si="6"/>
        <v>5691113.91</v>
      </c>
      <c r="I142" s="4">
        <f t="shared" si="7"/>
        <v>0</v>
      </c>
      <c r="J142" s="27">
        <f>RDG!I22</f>
        <v>1178689</v>
      </c>
      <c r="K142" s="27">
        <f>RDG!J22</f>
        <v>1428781</v>
      </c>
    </row>
    <row r="143" spans="4:11" ht="12.75">
      <c r="D143" s="4" t="s">
        <v>794</v>
      </c>
      <c r="E143" s="4">
        <v>2</v>
      </c>
      <c r="F143" s="4">
        <f>RDG!G23</f>
        <v>142</v>
      </c>
      <c r="G143" s="4">
        <f>IF(RDG!H23=0,"",RDG!H23)</f>
      </c>
      <c r="H143" s="26">
        <f t="shared" si="6"/>
        <v>3101948.82</v>
      </c>
      <c r="I143" s="4">
        <f t="shared" si="7"/>
        <v>0</v>
      </c>
      <c r="J143" s="27">
        <f>RDG!I23</f>
        <v>622099</v>
      </c>
      <c r="K143" s="27">
        <f>RDG!J23</f>
        <v>781186</v>
      </c>
    </row>
    <row r="144" spans="4:11" ht="12.75">
      <c r="D144" s="4" t="s">
        <v>794</v>
      </c>
      <c r="E144" s="4">
        <v>2</v>
      </c>
      <c r="F144" s="4">
        <f>RDG!G24</f>
        <v>143</v>
      </c>
      <c r="G144" s="4" t="str">
        <f>IF(RDG!H24=0,"",RDG!H24)</f>
        <v>4</v>
      </c>
      <c r="H144" s="26">
        <f t="shared" si="6"/>
        <v>4706676.260000001</v>
      </c>
      <c r="I144" s="4">
        <f t="shared" si="7"/>
        <v>0</v>
      </c>
      <c r="J144" s="27">
        <f>RDG!I24</f>
        <v>1142644</v>
      </c>
      <c r="K144" s="27">
        <f>RDG!J24</f>
        <v>1074369</v>
      </c>
    </row>
    <row r="145" spans="4:11" ht="12.75">
      <c r="D145" s="4" t="s">
        <v>794</v>
      </c>
      <c r="E145" s="4">
        <v>2</v>
      </c>
      <c r="F145" s="4">
        <f>RDG!G25</f>
        <v>144</v>
      </c>
      <c r="G145" s="4" t="str">
        <f>IF(RDG!H25=0,"",RDG!H25)</f>
        <v>18</v>
      </c>
      <c r="H145" s="26">
        <f t="shared" si="6"/>
        <v>8407441.440000001</v>
      </c>
      <c r="I145" s="4">
        <f t="shared" si="7"/>
        <v>0</v>
      </c>
      <c r="J145" s="27">
        <f>RDG!I25</f>
        <v>1684257</v>
      </c>
      <c r="K145" s="27">
        <f>RDG!J25</f>
        <v>2077122</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t="str">
        <f>IF(RDG!H37=0,"",RDG!H37)</f>
        <v>19</v>
      </c>
      <c r="H157" s="26">
        <f t="shared" si="6"/>
        <v>8060.52</v>
      </c>
      <c r="I157" s="4">
        <f t="shared" si="7"/>
        <v>0</v>
      </c>
      <c r="J157" s="27">
        <f>RDG!I37</f>
        <v>143</v>
      </c>
      <c r="K157" s="27">
        <f>RDG!J37</f>
        <v>2512</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8422.21</v>
      </c>
      <c r="I164" s="4">
        <f t="shared" si="7"/>
        <v>0</v>
      </c>
      <c r="J164" s="27">
        <f>RDG!I44</f>
        <v>143</v>
      </c>
      <c r="K164" s="27">
        <f>RDG!J44</f>
        <v>2512</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t="str">
        <f>IF(RDG!H48=0,"",RDG!H48)</f>
        <v>20</v>
      </c>
      <c r="H168" s="26">
        <f t="shared" si="6"/>
        <v>354841.6</v>
      </c>
      <c r="I168" s="4">
        <f t="shared" si="7"/>
        <v>0</v>
      </c>
      <c r="J168" s="27">
        <f>RDG!I48</f>
        <v>212216</v>
      </c>
      <c r="K168" s="27">
        <f>RDG!J48</f>
        <v>132</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361215.99999999994</v>
      </c>
      <c r="I171" s="4">
        <f t="shared" si="7"/>
        <v>0</v>
      </c>
      <c r="J171" s="27">
        <f>RDG!I51</f>
        <v>212216</v>
      </c>
      <c r="K171" s="27">
        <f>RDG!J51</f>
        <v>132</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62552314.33</v>
      </c>
      <c r="I180" s="4">
        <f t="shared" si="7"/>
        <v>0</v>
      </c>
      <c r="J180" s="27">
        <f>RDG!I60</f>
        <v>9933245</v>
      </c>
      <c r="K180" s="27">
        <f>RDG!J60</f>
        <v>12506091</v>
      </c>
    </row>
    <row r="181" spans="4:11" ht="12.75">
      <c r="D181" s="4" t="s">
        <v>794</v>
      </c>
      <c r="E181" s="4">
        <v>2</v>
      </c>
      <c r="F181" s="4">
        <f>RDG!G61</f>
        <v>180</v>
      </c>
      <c r="G181" s="4">
        <f>IF(RDG!H61=0,"",RDG!H61)</f>
      </c>
      <c r="H181" s="26">
        <f t="shared" si="6"/>
        <v>57866211</v>
      </c>
      <c r="I181" s="4">
        <f t="shared" si="7"/>
        <v>0</v>
      </c>
      <c r="J181" s="27">
        <f>RDG!I61</f>
        <v>9835611</v>
      </c>
      <c r="K181" s="27">
        <f>RDG!J61</f>
        <v>11156142</v>
      </c>
    </row>
    <row r="182" spans="4:11" ht="12.75">
      <c r="D182" s="4" t="s">
        <v>794</v>
      </c>
      <c r="E182" s="4">
        <v>2</v>
      </c>
      <c r="F182" s="4">
        <f>RDG!G62</f>
        <v>181</v>
      </c>
      <c r="G182" s="4">
        <f>IF(RDG!H62=0,"",RDG!H62)</f>
      </c>
      <c r="H182" s="26">
        <f t="shared" si="6"/>
        <v>5063532.92</v>
      </c>
      <c r="I182" s="4">
        <f t="shared" si="7"/>
        <v>0</v>
      </c>
      <c r="J182" s="27">
        <f>RDG!I62</f>
        <v>97634</v>
      </c>
      <c r="K182" s="27">
        <f>RDG!J62</f>
        <v>1349949</v>
      </c>
    </row>
    <row r="183" spans="4:11" ht="12.75">
      <c r="D183" s="4" t="s">
        <v>794</v>
      </c>
      <c r="E183" s="4">
        <v>2</v>
      </c>
      <c r="F183" s="4">
        <f>RDG!G63</f>
        <v>182</v>
      </c>
      <c r="G183" s="4">
        <f>IF(RDG!H63=0,"",RDG!H63)</f>
      </c>
      <c r="H183" s="26">
        <f t="shared" si="6"/>
        <v>5091508.24</v>
      </c>
      <c r="I183" s="4">
        <f t="shared" si="7"/>
        <v>0</v>
      </c>
      <c r="J183" s="27">
        <f>RDG!I63</f>
        <v>97634</v>
      </c>
      <c r="K183" s="27">
        <f>RDG!J63</f>
        <v>1349949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t="str">
        <f>IF(RDG!H65=0,"",RDG!H65)</f>
        <v>21</v>
      </c>
      <c r="H185" s="26">
        <f t="shared" si="6"/>
        <v>42789.200000000004</v>
      </c>
      <c r="I185" s="4">
        <f t="shared" si="7"/>
        <v>0</v>
      </c>
      <c r="J185" s="27">
        <f>RDG!I65</f>
        <v>23255</v>
      </c>
      <c r="K185" s="27">
        <f>RDG!J65</f>
        <v>0</v>
      </c>
    </row>
    <row r="186" spans="4:11" ht="12.75">
      <c r="D186" s="4" t="s">
        <v>794</v>
      </c>
      <c r="E186" s="4">
        <v>2</v>
      </c>
      <c r="F186" s="4">
        <f>RDG!G66</f>
        <v>185</v>
      </c>
      <c r="G186" s="4">
        <f>IF(RDG!H66=0,"",RDG!H66)</f>
      </c>
      <c r="H186" s="26">
        <f t="shared" si="6"/>
        <v>5132412.45</v>
      </c>
      <c r="I186" s="4">
        <f t="shared" si="7"/>
        <v>0</v>
      </c>
      <c r="J186" s="27">
        <f>RDG!I66</f>
        <v>74379</v>
      </c>
      <c r="K186" s="27">
        <f>RDG!J66</f>
        <v>1349949</v>
      </c>
    </row>
    <row r="187" spans="4:11" ht="12.75">
      <c r="D187" s="4" t="s">
        <v>794</v>
      </c>
      <c r="E187" s="4">
        <v>2</v>
      </c>
      <c r="F187" s="4">
        <f>RDG!G67</f>
        <v>186</v>
      </c>
      <c r="G187" s="4">
        <f>IF(RDG!H67=0,"",RDG!H67)</f>
      </c>
      <c r="H187" s="26">
        <f t="shared" si="6"/>
        <v>5160155.220000001</v>
      </c>
      <c r="I187" s="4">
        <f t="shared" si="7"/>
        <v>0</v>
      </c>
      <c r="J187" s="27">
        <f>RDG!I67</f>
        <v>74379</v>
      </c>
      <c r="K187" s="27">
        <f>RDG!J67</f>
        <v>1349949</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76734988.66</v>
      </c>
      <c r="I243" s="4">
        <f t="shared" si="13"/>
        <v>0</v>
      </c>
      <c r="J243" s="27">
        <f>Dodatni!I26</f>
        <v>8930243</v>
      </c>
      <c r="K243" s="27">
        <f>Dodatni!J26</f>
        <v>11389215</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80222942.69</v>
      </c>
      <c r="I254" s="4">
        <f t="shared" si="13"/>
        <v>0</v>
      </c>
      <c r="J254" s="27">
        <f>Dodatni!I38</f>
        <v>8930243</v>
      </c>
      <c r="K254" s="27">
        <f>Dodatni!J38</f>
        <v>11389215</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2063821.1600000001</v>
      </c>
      <c r="I263" s="4">
        <f t="shared" si="13"/>
        <v>0</v>
      </c>
      <c r="J263" s="27">
        <f>Dodatni!I50</f>
        <v>202676</v>
      </c>
      <c r="K263" s="27">
        <f>Dodatni!J50</f>
        <v>292521</v>
      </c>
    </row>
    <row r="264" spans="4:11" ht="12.75">
      <c r="D264" s="4" t="s">
        <v>555</v>
      </c>
      <c r="E264" s="4">
        <v>3</v>
      </c>
      <c r="F264" s="4">
        <f>Dodatni!H51</f>
        <v>263</v>
      </c>
      <c r="H264" s="26">
        <f t="shared" si="12"/>
        <v>1650409.1600000001</v>
      </c>
      <c r="I264" s="4">
        <f t="shared" si="13"/>
        <v>0</v>
      </c>
      <c r="J264" s="27">
        <f>Dodatni!I51</f>
        <v>194560</v>
      </c>
      <c r="K264" s="27">
        <f>Dodatni!J51</f>
        <v>216486</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14674.28</v>
      </c>
      <c r="I285" s="4">
        <f aca="true" t="shared" si="15" ref="I285:I294">ABS(ROUND(J285,0)-J285)+ABS(ROUND(K285,0)-K285)</f>
        <v>0</v>
      </c>
      <c r="J285" s="27">
        <f>Dodatni!I73</f>
        <v>143</v>
      </c>
      <c r="K285" s="27">
        <f>Dodatni!J73</f>
        <v>2512</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7"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SPLITSKA OBALA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21000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89801268320</v>
      </c>
      <c r="V4" s="206" t="s">
        <v>2737</v>
      </c>
      <c r="W4" s="224" t="str">
        <f>RefStr!F31</f>
        <v>SPLIT</v>
      </c>
      <c r="X4" s="226" t="s">
        <v>1783</v>
      </c>
      <c r="Y4" s="227" t="str">
        <f>RefStr!I68</f>
        <v>NE</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1</v>
      </c>
      <c r="T5" s="206" t="s">
        <v>1560</v>
      </c>
      <c r="U5" s="224" t="str">
        <f>RefStr!H27</f>
        <v>02678535</v>
      </c>
      <c r="V5" s="206" t="s">
        <v>2738</v>
      </c>
      <c r="W5" s="224" t="str">
        <f>RefStr!C33</f>
        <v>Ulica kralja Zvonimira 14</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060264886</v>
      </c>
      <c r="V6" s="206" t="s">
        <v>2968</v>
      </c>
      <c r="W6" s="224" t="str">
        <f>RefStr!L35</f>
        <v>021/355-139</v>
      </c>
      <c r="X6" s="206" t="s">
        <v>2926</v>
      </c>
      <c r="Y6" s="224" t="str">
        <f>RefStr!C68</f>
        <v>Ivana Kapović</v>
      </c>
      <c r="Z6" s="206" t="s">
        <v>2952</v>
      </c>
      <c r="AA6" s="224">
        <f>RefStr!C46</f>
        <v>0</v>
      </c>
    </row>
    <row r="7" spans="1:27" ht="13.5" customHeight="1">
      <c r="A7" s="504"/>
      <c r="B7" s="505"/>
      <c r="C7" s="505"/>
      <c r="D7" s="505"/>
      <c r="E7" s="505"/>
      <c r="F7" s="505"/>
      <c r="G7" s="505"/>
      <c r="H7" s="505"/>
      <c r="I7" s="214" t="s">
        <v>211</v>
      </c>
      <c r="J7" s="216">
        <f>SUM(M12:M122)</f>
        <v>1</v>
      </c>
      <c r="N7" s="203" t="s">
        <v>795</v>
      </c>
      <c r="O7" s="206">
        <f>PK!AC1</f>
        <v>0</v>
      </c>
      <c r="P7" s="207">
        <f>PK!AC2</f>
        <v>0</v>
      </c>
      <c r="Q7" s="224">
        <f>PK!AC3</f>
        <v>0</v>
      </c>
      <c r="R7" s="206" t="s">
        <v>2969</v>
      </c>
      <c r="S7" s="224">
        <f>IF(RefStr!C44&lt;&gt;"",IF(ISERROR(INT(RefStr!C44)),0,RefStr!C44),0)</f>
        <v>1</v>
      </c>
      <c r="T7" s="206" t="s">
        <v>916</v>
      </c>
      <c r="U7" s="224">
        <f>RefStr!C7</f>
        <v>1</v>
      </c>
      <c r="V7" s="206" t="s">
        <v>2884</v>
      </c>
      <c r="W7" s="224" t="str">
        <f>TRIM(UPPER(RefStr!C35))</f>
        <v>INFO@SPLITSKAOBALA.HR</v>
      </c>
      <c r="X7" s="206" t="s">
        <v>2927</v>
      </c>
      <c r="Y7" s="224" t="str">
        <f>RefStr!C70</f>
        <v>021/355-139</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Javno trgovačko društvo</v>
      </c>
      <c r="V8" s="206" t="s">
        <v>2974</v>
      </c>
      <c r="W8" s="224" t="str">
        <f>RefStr!C42</f>
        <v>6820</v>
      </c>
      <c r="X8" s="206" t="s">
        <v>2928</v>
      </c>
      <c r="Y8" s="224" t="str">
        <f>TRIM(UPPER(RefStr!C72))</f>
        <v>IVANA.KAPOVIC@SPLITSKAOBALA.HR</v>
      </c>
      <c r="Z8" s="228" t="s">
        <v>1780</v>
      </c>
      <c r="AA8" s="229" t="str">
        <f>RefStr!I56</f>
        <v>NE</v>
      </c>
    </row>
    <row r="9" spans="1:27" ht="13.5" customHeight="1">
      <c r="A9" s="497" t="s">
        <v>819</v>
      </c>
      <c r="B9" s="497"/>
      <c r="C9" s="497" t="s">
        <v>963</v>
      </c>
      <c r="D9" s="497"/>
      <c r="E9" s="497"/>
      <c r="F9" s="497"/>
      <c r="G9" s="497"/>
      <c r="H9" s="497"/>
      <c r="I9" s="497"/>
      <c r="J9" s="497"/>
      <c r="L9" s="190"/>
      <c r="M9" s="190"/>
      <c r="O9" s="222" t="s">
        <v>1464</v>
      </c>
      <c r="P9" s="204">
        <f>RefStr!C58</f>
        <v>31</v>
      </c>
      <c r="Q9" s="223">
        <f>RefStr!F58</f>
        <v>31</v>
      </c>
      <c r="R9" s="206" t="s">
        <v>914</v>
      </c>
      <c r="S9" s="224">
        <f>IF(RefStr!F4&lt;&gt;"",RefStr!F4,0)</f>
        <v>44561</v>
      </c>
      <c r="T9" s="206" t="s">
        <v>891</v>
      </c>
      <c r="U9" s="224">
        <f>RefStr!C39</f>
        <v>409</v>
      </c>
      <c r="V9" s="206" t="s">
        <v>2951</v>
      </c>
      <c r="W9" s="224" t="str">
        <f>RefStr!D42</f>
        <v>Iznajmljivanje i upravljanje vlastitim...</v>
      </c>
      <c r="X9" s="230" t="s">
        <v>1782</v>
      </c>
      <c r="Y9" s="231" t="str">
        <f>RefStr!I66</f>
        <v>NE</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33</v>
      </c>
      <c r="Q10" s="225">
        <f>RefStr!F56</f>
        <v>32</v>
      </c>
      <c r="R10" s="208" t="s">
        <v>917</v>
      </c>
      <c r="S10" s="225">
        <f>RefStr!C23</f>
        <v>1</v>
      </c>
      <c r="T10" s="208" t="s">
        <v>2973</v>
      </c>
      <c r="U10" s="225" t="str">
        <f>RefStr!D39</f>
        <v>Split</v>
      </c>
      <c r="V10" s="232"/>
      <c r="W10" s="233"/>
      <c r="X10" s="234" t="s">
        <v>2279</v>
      </c>
      <c r="Y10" s="235">
        <f>RefStr!F12</f>
        <v>2021</v>
      </c>
      <c r="Z10" s="208" t="s">
        <v>1771</v>
      </c>
      <c r="AA10" s="225" t="str">
        <f>RefStr!A75</f>
        <v>Marijan Ciprijan</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786</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C:\Users\Ivana\Desktop\REVIZIJA 2021\[GFI-POD, Godišnji financijski izvještaj poduzetnika (1).xls]Bilanca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9"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34" activePane="bottomLeft" state="frozen"/>
      <selection pane="topLeft" activeCell="A1" sqref="A1"/>
      <selection pane="bottomLeft" activeCell="I54" sqref="I5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267853.5</v>
      </c>
    </row>
    <row r="13" spans="4:17" ht="9.75" customHeight="1">
      <c r="D13" s="152"/>
      <c r="E13" s="158"/>
      <c r="H13" s="23"/>
      <c r="I13" s="159"/>
      <c r="J13" s="159"/>
      <c r="K13" s="152"/>
      <c r="L13" s="152"/>
      <c r="M13" s="152"/>
      <c r="N13" s="152"/>
      <c r="P13" s="50" t="s">
        <v>1561</v>
      </c>
      <c r="Q13" s="51">
        <f>INT(VALUE(M27))/50</f>
        <v>1205297.72</v>
      </c>
    </row>
    <row r="14" spans="1:17" ht="15">
      <c r="A14" s="289" t="s">
        <v>1312</v>
      </c>
      <c r="B14" s="289"/>
      <c r="C14" s="289"/>
      <c r="D14" s="160"/>
      <c r="E14" s="161"/>
      <c r="F14" s="287"/>
      <c r="G14" s="288"/>
      <c r="H14" s="288"/>
      <c r="I14" s="152"/>
      <c r="J14" s="310" t="s">
        <v>1978</v>
      </c>
      <c r="K14" s="311"/>
      <c r="L14" s="311"/>
      <c r="M14" s="311"/>
      <c r="N14" s="311"/>
      <c r="P14" s="50" t="s">
        <v>1316</v>
      </c>
      <c r="Q14" s="51">
        <f>INT(VALUE(C27))/100</f>
        <v>898012683.2</v>
      </c>
    </row>
    <row r="15" spans="1:17" ht="19.5" customHeight="1">
      <c r="A15" s="307">
        <f>Skriveni!B59</f>
        <v>1755480950.8500001</v>
      </c>
      <c r="B15" s="308"/>
      <c r="C15" s="309"/>
      <c r="D15" s="56"/>
      <c r="E15" s="56"/>
      <c r="F15" s="56"/>
      <c r="G15" s="56"/>
      <c r="H15" s="56"/>
      <c r="I15" s="56"/>
      <c r="J15" s="56"/>
      <c r="K15" s="56"/>
      <c r="L15" s="56"/>
      <c r="M15" s="56"/>
      <c r="N15" s="56"/>
      <c r="P15" s="50" t="s">
        <v>887</v>
      </c>
      <c r="Q15" s="51">
        <f>LEN(Skriveni!B9)</f>
        <v>21</v>
      </c>
    </row>
    <row r="16" spans="4:17" ht="12.75" customHeight="1">
      <c r="D16" s="56"/>
      <c r="E16" s="56"/>
      <c r="F16" s="56"/>
      <c r="G16" s="56"/>
      <c r="H16" s="56"/>
      <c r="I16" s="56"/>
      <c r="P16" s="50" t="s">
        <v>888</v>
      </c>
      <c r="Q16" s="51">
        <f>INT(VALUE(C31))/100</f>
        <v>210</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5</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1</v>
      </c>
      <c r="D19" s="292" t="str">
        <f>IF(C19="","Upišite svrhu predaje",IF(ISNA(LOOKUP(C19,A118:A120,A118:A120)),"Nepostojeća ili neprepoznatljiva svrha predaje",IF(LOOKUP(C19,A118:A120,A118:A120)&lt;&gt;C19,"Nepostojeća ili neprepoznatljiva svrha predaje",LOOKUP(C19,A118:A120,B118:B120))))</f>
        <v>Predaja samo u statističke svrhe</v>
      </c>
      <c r="E19" s="293"/>
      <c r="F19" s="293"/>
      <c r="G19" s="293"/>
      <c r="H19" s="293"/>
      <c r="I19" s="296" t="s">
        <v>198</v>
      </c>
      <c r="J19" s="291"/>
      <c r="K19" s="291"/>
      <c r="L19" s="291"/>
      <c r="M19" s="291"/>
      <c r="N19" s="32" t="s">
        <v>2982</v>
      </c>
      <c r="P19" s="50" t="s">
        <v>890</v>
      </c>
      <c r="Q19" s="51">
        <f>LEN(Skriveni!B12)</f>
        <v>25</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409</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6820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21000</v>
      </c>
      <c r="D31" s="343" t="s">
        <v>929</v>
      </c>
      <c r="E31" s="344"/>
      <c r="F31" s="345" t="s">
        <v>2987</v>
      </c>
      <c r="G31" s="346"/>
      <c r="H31" s="346"/>
      <c r="I31" s="346"/>
      <c r="J31" s="346"/>
      <c r="K31" s="346"/>
      <c r="L31" s="347"/>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2991</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2990</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409</v>
      </c>
      <c r="D39" s="358" t="str">
        <f>IF(C39="","Upišite šifru grada/općine",IF(ISNA(LOOKUP(C39,A177:A732,A177:A732)),"Šifra grada/općine ne postoji",IF(LOOKUP(C39,A177:A732,A177:A732)&lt;&gt;C39,"Šifra grada/općine ne postoji",LOOKUP(C39,A177:A732,B177:B732))))</f>
        <v>Split</v>
      </c>
      <c r="E39" s="359"/>
      <c r="F39" s="359"/>
      <c r="G39" s="359"/>
      <c r="H39" s="279" t="s">
        <v>2109</v>
      </c>
      <c r="I39" s="280"/>
      <c r="J39" s="54">
        <f>IF(C39&gt;0,LOOKUP(C39,A177:A732,C177:C732),"")</f>
        <v>17</v>
      </c>
      <c r="K39" s="350" t="str">
        <f>IF(J39="","Upišite šifru grada/općine",LOOKUP(J39,A153:A173,B153:B173))</f>
        <v>SPLITSKO-DALMATINSKA</v>
      </c>
      <c r="L39" s="350"/>
      <c r="M39" s="350"/>
      <c r="N39" s="350"/>
      <c r="P39" s="50" t="s">
        <v>896</v>
      </c>
      <c r="Q39" s="51">
        <f>C56+2*F56+3*C58+4*F58</f>
        <v>314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1900</v>
      </c>
      <c r="D42" s="356" t="str">
        <f>IF(C42="","Upišite šifru razreda glavne djelatnosti",IF(ISNA(LOOKUP(C42,A736:A1351,A736:A1351)),"Šifra NKD-a ne postoji",IF(LOOKUP(C42,A736:A1351,A736:A1351)&lt;&gt;C42,"Šifra NKD-a ne postoji",LOOKUP(C42,A736:A1351,B736:B1351))))</f>
        <v>Iznajmljivanje i upravljanje vlastitim...</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16</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33</v>
      </c>
      <c r="D56" s="272" t="s">
        <v>2653</v>
      </c>
      <c r="E56" s="362"/>
      <c r="F56" s="40">
        <v>32</v>
      </c>
      <c r="G56" s="272" t="s">
        <v>2654</v>
      </c>
      <c r="H56" s="273"/>
      <c r="I56" s="218" t="s">
        <v>1237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31</v>
      </c>
      <c r="D58" s="354" t="s">
        <v>2653</v>
      </c>
      <c r="E58" s="354"/>
      <c r="F58" s="40">
        <v>31</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1237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2992</v>
      </c>
      <c r="D68" s="298"/>
      <c r="E68" s="298"/>
      <c r="F68" s="298"/>
      <c r="G68" s="299"/>
      <c r="H68" s="187"/>
      <c r="I68" s="218" t="s">
        <v>1237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2991</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2993</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2994</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tabSelected="1" zoomScalePageLayoutView="0" workbookViewId="0" topLeftCell="A1">
      <pane ySplit="1" topLeftCell="A56" activePane="bottomLeft" state="frozen"/>
      <selection pane="topLeft" activeCell="A1" sqref="A1"/>
      <selection pane="bottomLeft" activeCell="J95" sqref="J9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89801268320; SPLITSKA OBALA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15747886</v>
      </c>
      <c r="J10" s="66">
        <f>J11+J18+J28+J39+J44</f>
        <v>14826836</v>
      </c>
    </row>
    <row r="11" spans="1:10" ht="13.5" customHeight="1">
      <c r="A11" s="390" t="s">
        <v>904</v>
      </c>
      <c r="B11" s="390"/>
      <c r="C11" s="390"/>
      <c r="D11" s="390"/>
      <c r="E11" s="390"/>
      <c r="F11" s="390"/>
      <c r="G11" s="15">
        <v>3</v>
      </c>
      <c r="H11" s="16"/>
      <c r="I11" s="66">
        <f>SUM(I12:I17)</f>
        <v>0</v>
      </c>
      <c r="J11" s="66">
        <f>SUM(J12:J17)</f>
        <v>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t="s">
        <v>2995</v>
      </c>
      <c r="I18" s="66">
        <f>SUM(I19:I27)</f>
        <v>15747886</v>
      </c>
      <c r="J18" s="66">
        <f>SUM(J19:J27)</f>
        <v>14826836</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v>14387216</v>
      </c>
      <c r="J20" s="67">
        <v>13580650</v>
      </c>
    </row>
    <row r="21" spans="1:10" ht="13.5" customHeight="1">
      <c r="A21" s="387" t="s">
        <v>734</v>
      </c>
      <c r="B21" s="387"/>
      <c r="C21" s="387"/>
      <c r="D21" s="387"/>
      <c r="E21" s="387"/>
      <c r="F21" s="387"/>
      <c r="G21" s="15">
        <v>13</v>
      </c>
      <c r="H21" s="16"/>
      <c r="I21" s="67">
        <v>1302900</v>
      </c>
      <c r="J21" s="67">
        <v>1100775</v>
      </c>
    </row>
    <row r="22" spans="1:10" ht="13.5" customHeight="1">
      <c r="A22" s="387" t="s">
        <v>405</v>
      </c>
      <c r="B22" s="387"/>
      <c r="C22" s="387"/>
      <c r="D22" s="387"/>
      <c r="E22" s="387"/>
      <c r="F22" s="387"/>
      <c r="G22" s="15">
        <v>14</v>
      </c>
      <c r="H22" s="16"/>
      <c r="I22" s="67">
        <v>41608</v>
      </c>
      <c r="J22" s="67">
        <v>137057</v>
      </c>
    </row>
    <row r="23" spans="1:10" ht="13.5" customHeight="1">
      <c r="A23" s="387" t="s">
        <v>406</v>
      </c>
      <c r="B23" s="387"/>
      <c r="C23" s="387"/>
      <c r="D23" s="387"/>
      <c r="E23" s="387"/>
      <c r="F23" s="387"/>
      <c r="G23" s="15">
        <v>15</v>
      </c>
      <c r="H23" s="16"/>
      <c r="I23" s="67">
        <v>16162</v>
      </c>
      <c r="J23" s="67">
        <v>8354</v>
      </c>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12141134</v>
      </c>
      <c r="J45" s="66">
        <f>J46+J54+J61+J71</f>
        <v>13677788</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986396</v>
      </c>
      <c r="J54" s="66">
        <f>SUM(J55:J60)</f>
        <v>602204</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t="s">
        <v>2996</v>
      </c>
      <c r="I57" s="67">
        <v>598257</v>
      </c>
      <c r="J57" s="67">
        <v>441036</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t="s">
        <v>2997</v>
      </c>
      <c r="I59" s="67">
        <v>384323</v>
      </c>
      <c r="J59" s="67">
        <v>155261</v>
      </c>
    </row>
    <row r="60" spans="1:10" ht="13.5" customHeight="1">
      <c r="A60" s="387" t="s">
        <v>1255</v>
      </c>
      <c r="B60" s="387"/>
      <c r="C60" s="387"/>
      <c r="D60" s="387"/>
      <c r="E60" s="387"/>
      <c r="F60" s="387"/>
      <c r="G60" s="15">
        <v>52</v>
      </c>
      <c r="H60" s="16" t="s">
        <v>2997</v>
      </c>
      <c r="I60" s="67">
        <v>3816</v>
      </c>
      <c r="J60" s="67">
        <v>5907</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t="s">
        <v>2998</v>
      </c>
      <c r="I71" s="67">
        <v>11154738</v>
      </c>
      <c r="J71" s="67">
        <v>13075584</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27889020</v>
      </c>
      <c r="J73" s="66">
        <f>J9+J10+J45+J72</f>
        <v>28504624</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t="s">
        <v>2999</v>
      </c>
      <c r="I76" s="66">
        <f>I77+I78+I79+I85+I86+I92+I95+I98</f>
        <v>11093818</v>
      </c>
      <c r="J76" s="66">
        <f>J77+J78+J79+J85+J86+J92+J95+J98</f>
        <v>6992363</v>
      </c>
      <c r="L76" s="2" t="s">
        <v>1209</v>
      </c>
    </row>
    <row r="77" spans="1:10" ht="13.5" customHeight="1">
      <c r="A77" s="390" t="s">
        <v>1857</v>
      </c>
      <c r="B77" s="390"/>
      <c r="C77" s="390"/>
      <c r="D77" s="390"/>
      <c r="E77" s="390"/>
      <c r="F77" s="390"/>
      <c r="G77" s="15">
        <v>68</v>
      </c>
      <c r="H77" s="16"/>
      <c r="I77" s="67">
        <v>9420000</v>
      </c>
      <c r="J77" s="67">
        <v>9420000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20000</v>
      </c>
      <c r="J79" s="66">
        <f>J80+J81-J82+J83+J84</f>
        <v>0</v>
      </c>
      <c r="L79" s="2" t="s">
        <v>1209</v>
      </c>
    </row>
    <row r="80" spans="1:12" ht="13.5" customHeight="1">
      <c r="A80" s="387" t="s">
        <v>1258</v>
      </c>
      <c r="B80" s="387"/>
      <c r="C80" s="387"/>
      <c r="D80" s="387"/>
      <c r="E80" s="387"/>
      <c r="F80" s="387"/>
      <c r="G80" s="15">
        <v>71</v>
      </c>
      <c r="H80" s="16"/>
      <c r="I80" s="67">
        <v>20000</v>
      </c>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1579439</v>
      </c>
      <c r="J92" s="66">
        <f>J93-J94</f>
        <v>-3777586</v>
      </c>
      <c r="L92" s="2" t="s">
        <v>1209</v>
      </c>
    </row>
    <row r="93" spans="1:10" ht="13.5" customHeight="1">
      <c r="A93" s="387" t="s">
        <v>2830</v>
      </c>
      <c r="B93" s="387"/>
      <c r="C93" s="387"/>
      <c r="D93" s="387"/>
      <c r="E93" s="387"/>
      <c r="F93" s="387"/>
      <c r="G93" s="15">
        <v>84</v>
      </c>
      <c r="H93" s="16"/>
      <c r="I93" s="67">
        <v>1579439</v>
      </c>
      <c r="J93" s="67"/>
    </row>
    <row r="94" spans="1:10" ht="13.5" customHeight="1">
      <c r="A94" s="387" t="s">
        <v>2831</v>
      </c>
      <c r="B94" s="387"/>
      <c r="C94" s="387"/>
      <c r="D94" s="387"/>
      <c r="E94" s="387"/>
      <c r="F94" s="387"/>
      <c r="G94" s="15">
        <v>85</v>
      </c>
      <c r="H94" s="16"/>
      <c r="I94" s="67"/>
      <c r="J94" s="67">
        <v>3777586</v>
      </c>
    </row>
    <row r="95" spans="1:12" ht="13.5" customHeight="1">
      <c r="A95" s="390" t="s">
        <v>2487</v>
      </c>
      <c r="B95" s="390"/>
      <c r="C95" s="390"/>
      <c r="D95" s="390"/>
      <c r="E95" s="390"/>
      <c r="F95" s="390"/>
      <c r="G95" s="15">
        <v>86</v>
      </c>
      <c r="H95" s="16"/>
      <c r="I95" s="66">
        <f>I96-I97</f>
        <v>74379</v>
      </c>
      <c r="J95" s="66">
        <f>J96-J97</f>
        <v>1349949</v>
      </c>
      <c r="L95" s="2" t="s">
        <v>1209</v>
      </c>
    </row>
    <row r="96" spans="1:10" ht="13.5" customHeight="1">
      <c r="A96" s="387" t="s">
        <v>1257</v>
      </c>
      <c r="B96" s="387"/>
      <c r="C96" s="387"/>
      <c r="D96" s="387"/>
      <c r="E96" s="387"/>
      <c r="F96" s="387"/>
      <c r="G96" s="15">
        <v>87</v>
      </c>
      <c r="H96" s="16"/>
      <c r="I96" s="67">
        <v>74379</v>
      </c>
      <c r="J96" s="67">
        <v>1349949</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629967</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v>629967</v>
      </c>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t="s">
        <v>3000</v>
      </c>
      <c r="I106" s="66">
        <f>SUM(I107:I117)</f>
        <v>953890</v>
      </c>
      <c r="J106" s="66">
        <f>SUM(J107:J117)</f>
        <v>7035260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t="s">
        <v>3011</v>
      </c>
      <c r="I109" s="67">
        <v>953890</v>
      </c>
      <c r="J109" s="67">
        <v>953890</v>
      </c>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t="s">
        <v>3012</v>
      </c>
      <c r="I116" s="67"/>
      <c r="J116" s="67">
        <v>6081370</v>
      </c>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862349</v>
      </c>
      <c r="J118" s="66">
        <f>SUM(J119:J132)</f>
        <v>942469</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t="s">
        <v>3001</v>
      </c>
      <c r="I126" s="67">
        <v>446213</v>
      </c>
      <c r="J126" s="67">
        <v>290702</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t="s">
        <v>3002</v>
      </c>
      <c r="I128" s="67">
        <v>257006</v>
      </c>
      <c r="J128" s="67">
        <v>358223</v>
      </c>
    </row>
    <row r="129" spans="1:10" ht="13.5" customHeight="1">
      <c r="A129" s="387" t="s">
        <v>2023</v>
      </c>
      <c r="B129" s="387"/>
      <c r="C129" s="387"/>
      <c r="D129" s="387"/>
      <c r="E129" s="387"/>
      <c r="F129" s="387"/>
      <c r="G129" s="15">
        <v>120</v>
      </c>
      <c r="H129" s="16" t="s">
        <v>3002</v>
      </c>
      <c r="I129" s="67">
        <v>159130</v>
      </c>
      <c r="J129" s="67">
        <v>293544</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c r="J132" s="67"/>
    </row>
    <row r="133" spans="1:10" ht="24.75" customHeight="1">
      <c r="A133" s="385" t="s">
        <v>593</v>
      </c>
      <c r="B133" s="385"/>
      <c r="C133" s="385"/>
      <c r="D133" s="385"/>
      <c r="E133" s="385"/>
      <c r="F133" s="385"/>
      <c r="G133" s="15">
        <v>124</v>
      </c>
      <c r="H133" s="16" t="s">
        <v>3003</v>
      </c>
      <c r="I133" s="67">
        <v>14348996</v>
      </c>
      <c r="J133" s="67">
        <v>13534532</v>
      </c>
    </row>
    <row r="134" spans="1:10" ht="13.5" customHeight="1">
      <c r="A134" s="385" t="s">
        <v>360</v>
      </c>
      <c r="B134" s="385"/>
      <c r="C134" s="385"/>
      <c r="D134" s="385"/>
      <c r="E134" s="385"/>
      <c r="F134" s="385"/>
      <c r="G134" s="15">
        <v>125</v>
      </c>
      <c r="H134" s="16"/>
      <c r="I134" s="66">
        <f>I76+I99+I106+I118+I133</f>
        <v>27889020</v>
      </c>
      <c r="J134" s="66">
        <f>J76+J99+J106+J118+J133</f>
        <v>28504624</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74" activePane="bottomLeft" state="frozen"/>
      <selection pane="topLeft" activeCell="A1" sqref="A1"/>
      <selection pane="bottomLeft" activeCell="H66" sqref="H6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89801268320; SPLITSKA OBALA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t="s">
        <v>3004</v>
      </c>
      <c r="I8" s="80">
        <f>SUM(I9:I13)</f>
        <v>9933102</v>
      </c>
      <c r="J8" s="80">
        <f>SUM(J9:J13)</f>
        <v>12503579</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t="s">
        <v>3013</v>
      </c>
      <c r="I10" s="67">
        <v>8930243</v>
      </c>
      <c r="J10" s="67">
        <v>11389215</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t="s">
        <v>3014</v>
      </c>
      <c r="I13" s="67">
        <v>1002859</v>
      </c>
      <c r="J13" s="67">
        <v>1114364</v>
      </c>
    </row>
    <row r="14" spans="1:10" s="2" customFormat="1" ht="14.25" customHeight="1">
      <c r="A14" s="385" t="s">
        <v>2492</v>
      </c>
      <c r="B14" s="385"/>
      <c r="C14" s="385"/>
      <c r="D14" s="385"/>
      <c r="E14" s="385"/>
      <c r="F14" s="385"/>
      <c r="G14" s="15">
        <v>133</v>
      </c>
      <c r="H14" s="16"/>
      <c r="I14" s="66">
        <f>I15+I16+I20+I24+I25+I26+I29+I36</f>
        <v>9623395</v>
      </c>
      <c r="J14" s="66">
        <f>J15+J16+J20+J24+J25+J26+J29+J36</f>
        <v>11156010</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2197204</v>
      </c>
      <c r="J16" s="66">
        <f>SUM(J17:J19)</f>
        <v>2480836</v>
      </c>
    </row>
    <row r="17" spans="1:10" s="2" customFormat="1" ht="14.25" customHeight="1">
      <c r="A17" s="413" t="s">
        <v>1273</v>
      </c>
      <c r="B17" s="413"/>
      <c r="C17" s="413"/>
      <c r="D17" s="413"/>
      <c r="E17" s="413"/>
      <c r="F17" s="413"/>
      <c r="G17" s="15">
        <v>136</v>
      </c>
      <c r="H17" s="16" t="s">
        <v>3005</v>
      </c>
      <c r="I17" s="67">
        <v>966018</v>
      </c>
      <c r="J17" s="67">
        <v>1184937</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t="s">
        <v>3006</v>
      </c>
      <c r="I19" s="67">
        <v>1231186</v>
      </c>
      <c r="J19" s="67">
        <v>1295899</v>
      </c>
    </row>
    <row r="20" spans="1:10" s="2" customFormat="1" ht="14.25" customHeight="1">
      <c r="A20" s="387" t="s">
        <v>2494</v>
      </c>
      <c r="B20" s="387"/>
      <c r="C20" s="387"/>
      <c r="D20" s="387"/>
      <c r="E20" s="387"/>
      <c r="F20" s="387"/>
      <c r="G20" s="15">
        <v>139</v>
      </c>
      <c r="H20" s="16" t="s">
        <v>3007</v>
      </c>
      <c r="I20" s="66">
        <f>SUM(I21:I23)</f>
        <v>4599290</v>
      </c>
      <c r="J20" s="66">
        <f>SUM(J21:J23)</f>
        <v>5523683</v>
      </c>
    </row>
    <row r="21" spans="1:10" s="2" customFormat="1" ht="14.25" customHeight="1">
      <c r="A21" s="413" t="s">
        <v>960</v>
      </c>
      <c r="B21" s="413"/>
      <c r="C21" s="413"/>
      <c r="D21" s="413"/>
      <c r="E21" s="413"/>
      <c r="F21" s="413"/>
      <c r="G21" s="15">
        <v>140</v>
      </c>
      <c r="H21" s="16"/>
      <c r="I21" s="67">
        <v>2798502</v>
      </c>
      <c r="J21" s="67">
        <v>3313716</v>
      </c>
    </row>
    <row r="22" spans="1:10" s="2" customFormat="1" ht="14.25" customHeight="1">
      <c r="A22" s="413" t="s">
        <v>1883</v>
      </c>
      <c r="B22" s="413"/>
      <c r="C22" s="413"/>
      <c r="D22" s="413"/>
      <c r="E22" s="413"/>
      <c r="F22" s="413"/>
      <c r="G22" s="15">
        <v>141</v>
      </c>
      <c r="H22" s="16"/>
      <c r="I22" s="67">
        <v>1178689</v>
      </c>
      <c r="J22" s="67">
        <v>1428781</v>
      </c>
    </row>
    <row r="23" spans="1:10" s="2" customFormat="1" ht="14.25" customHeight="1">
      <c r="A23" s="413" t="s">
        <v>1884</v>
      </c>
      <c r="B23" s="413"/>
      <c r="C23" s="413"/>
      <c r="D23" s="413"/>
      <c r="E23" s="413"/>
      <c r="F23" s="413"/>
      <c r="G23" s="15">
        <v>142</v>
      </c>
      <c r="H23" s="16"/>
      <c r="I23" s="67">
        <v>622099</v>
      </c>
      <c r="J23" s="67">
        <v>781186</v>
      </c>
    </row>
    <row r="24" spans="1:10" s="2" customFormat="1" ht="14.25" customHeight="1">
      <c r="A24" s="387" t="s">
        <v>1006</v>
      </c>
      <c r="B24" s="387"/>
      <c r="C24" s="387"/>
      <c r="D24" s="387"/>
      <c r="E24" s="387"/>
      <c r="F24" s="387"/>
      <c r="G24" s="15">
        <v>143</v>
      </c>
      <c r="H24" s="16" t="s">
        <v>2995</v>
      </c>
      <c r="I24" s="67">
        <v>1142644</v>
      </c>
      <c r="J24" s="67">
        <v>1074369</v>
      </c>
    </row>
    <row r="25" spans="1:10" s="2" customFormat="1" ht="14.25" customHeight="1">
      <c r="A25" s="387" t="s">
        <v>1007</v>
      </c>
      <c r="B25" s="387"/>
      <c r="C25" s="387"/>
      <c r="D25" s="387"/>
      <c r="E25" s="387"/>
      <c r="F25" s="387"/>
      <c r="G25" s="15">
        <v>144</v>
      </c>
      <c r="H25" s="16" t="s">
        <v>3008</v>
      </c>
      <c r="I25" s="67">
        <v>1684257</v>
      </c>
      <c r="J25" s="67">
        <v>2077122</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c r="J36" s="67"/>
    </row>
    <row r="37" spans="1:10" s="2" customFormat="1" ht="14.25" customHeight="1">
      <c r="A37" s="385" t="s">
        <v>2497</v>
      </c>
      <c r="B37" s="385"/>
      <c r="C37" s="385"/>
      <c r="D37" s="385"/>
      <c r="E37" s="385"/>
      <c r="F37" s="385"/>
      <c r="G37" s="15">
        <v>156</v>
      </c>
      <c r="H37" s="16" t="s">
        <v>3009</v>
      </c>
      <c r="I37" s="66">
        <f>SUM(I38:I47)</f>
        <v>143</v>
      </c>
      <c r="J37" s="66">
        <f>SUM(J38:J47)</f>
        <v>2512</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143</v>
      </c>
      <c r="J44" s="67">
        <v>2512</v>
      </c>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t="s">
        <v>1730</v>
      </c>
      <c r="I48" s="66">
        <f>SUM(I49:I55)</f>
        <v>212216</v>
      </c>
      <c r="J48" s="66">
        <f>SUM(J49:J55)</f>
        <v>132</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212216</v>
      </c>
      <c r="J51" s="67">
        <v>132</v>
      </c>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9933245</v>
      </c>
      <c r="J60" s="66">
        <f>J8+J37+J56+J57</f>
        <v>12506091</v>
      </c>
    </row>
    <row r="61" spans="1:10" s="2" customFormat="1" ht="14.25" customHeight="1">
      <c r="A61" s="385" t="s">
        <v>2500</v>
      </c>
      <c r="B61" s="385"/>
      <c r="C61" s="385"/>
      <c r="D61" s="385"/>
      <c r="E61" s="385"/>
      <c r="F61" s="385"/>
      <c r="G61" s="15">
        <v>180</v>
      </c>
      <c r="H61" s="16"/>
      <c r="I61" s="66">
        <f>I14+I48+I58+I59</f>
        <v>9835611</v>
      </c>
      <c r="J61" s="66">
        <f>J14+J48+J58+J59</f>
        <v>11156142</v>
      </c>
    </row>
    <row r="62" spans="1:12" s="2" customFormat="1" ht="14.25" customHeight="1">
      <c r="A62" s="385" t="s">
        <v>2501</v>
      </c>
      <c r="B62" s="385"/>
      <c r="C62" s="385"/>
      <c r="D62" s="385"/>
      <c r="E62" s="385"/>
      <c r="F62" s="385"/>
      <c r="G62" s="15">
        <v>181</v>
      </c>
      <c r="H62" s="16"/>
      <c r="I62" s="66">
        <f>I60-I61</f>
        <v>97634</v>
      </c>
      <c r="J62" s="66">
        <f>J60-J61</f>
        <v>1349949</v>
      </c>
      <c r="L62" s="2" t="s">
        <v>1209</v>
      </c>
    </row>
    <row r="63" spans="1:10" s="2" customFormat="1" ht="14.25" customHeight="1">
      <c r="A63" s="408" t="s">
        <v>2502</v>
      </c>
      <c r="B63" s="408"/>
      <c r="C63" s="408"/>
      <c r="D63" s="408"/>
      <c r="E63" s="408"/>
      <c r="F63" s="408"/>
      <c r="G63" s="15">
        <v>182</v>
      </c>
      <c r="H63" s="16"/>
      <c r="I63" s="66">
        <f>IF(I60&gt;I61,I60-I61,0)</f>
        <v>97634</v>
      </c>
      <c r="J63" s="66">
        <f>IF(J60&gt;J61,J60-J61,0)</f>
        <v>1349949</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t="s">
        <v>3010</v>
      </c>
      <c r="I65" s="67">
        <v>23255</v>
      </c>
      <c r="J65" s="67"/>
      <c r="L65" s="2" t="s">
        <v>1209</v>
      </c>
    </row>
    <row r="66" spans="1:12" s="2" customFormat="1" ht="14.25" customHeight="1">
      <c r="A66" s="385" t="s">
        <v>2504</v>
      </c>
      <c r="B66" s="385"/>
      <c r="C66" s="385"/>
      <c r="D66" s="385"/>
      <c r="E66" s="385"/>
      <c r="F66" s="385"/>
      <c r="G66" s="15">
        <v>185</v>
      </c>
      <c r="H66" s="16"/>
      <c r="I66" s="66">
        <f>I62-I65</f>
        <v>74379</v>
      </c>
      <c r="J66" s="66">
        <f>J62-J65</f>
        <v>1349949</v>
      </c>
      <c r="L66" s="2" t="s">
        <v>1209</v>
      </c>
    </row>
    <row r="67" spans="1:10" s="2" customFormat="1" ht="14.25" customHeight="1">
      <c r="A67" s="408" t="s">
        <v>2505</v>
      </c>
      <c r="B67" s="408"/>
      <c r="C67" s="408"/>
      <c r="D67" s="408"/>
      <c r="E67" s="408"/>
      <c r="F67" s="408"/>
      <c r="G67" s="15">
        <v>186</v>
      </c>
      <c r="H67" s="16"/>
      <c r="I67" s="66">
        <f>IF(I66&gt;0,I66,0)</f>
        <v>74379</v>
      </c>
      <c r="J67" s="66">
        <f>IF(J66&gt;0,J66,0)</f>
        <v>1349949</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48:F48"/>
    <mergeCell ref="A46:F46"/>
    <mergeCell ref="A47:F47"/>
    <mergeCell ref="A49:F49"/>
    <mergeCell ref="A38:F38"/>
    <mergeCell ref="A35:F35"/>
    <mergeCell ref="A45:F45"/>
    <mergeCell ref="A43:F43"/>
    <mergeCell ref="A44:F44"/>
    <mergeCell ref="A37:F37"/>
    <mergeCell ref="A25:F25"/>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6" activePane="bottomLeft" state="frozen"/>
      <selection pane="topLeft" activeCell="A1" sqref="A1"/>
      <selection pane="bottomLeft" activeCell="J50" sqref="J50"/>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89801268320; SPLITSKA OBALA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8930243</v>
      </c>
      <c r="J26" s="73">
        <v>11389215</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v>8930243</v>
      </c>
      <c r="J38" s="74">
        <v>11389215</v>
      </c>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202676</v>
      </c>
      <c r="J50" s="73">
        <v>292521</v>
      </c>
    </row>
    <row r="51" spans="1:10" s="2" customFormat="1" ht="24.75" customHeight="1">
      <c r="A51" s="408" t="s">
        <v>2106</v>
      </c>
      <c r="B51" s="408"/>
      <c r="C51" s="408"/>
      <c r="D51" s="408"/>
      <c r="E51" s="408"/>
      <c r="F51" s="408"/>
      <c r="G51" s="447"/>
      <c r="H51" s="15">
        <v>263</v>
      </c>
      <c r="I51" s="73">
        <v>194560</v>
      </c>
      <c r="J51" s="73">
        <v>216486</v>
      </c>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v>143</v>
      </c>
      <c r="J73" s="90">
        <v>2512</v>
      </c>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89801268320; SPLITSKA OBALA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89801268320; SPLITSKA OBALA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4"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89801268320; SPLITSKA OBALA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Ivana</cp:lastModifiedBy>
  <cp:lastPrinted>2022-03-24T09:15:06Z</cp:lastPrinted>
  <dcterms:created xsi:type="dcterms:W3CDTF">2008-10-17T11:51:54Z</dcterms:created>
  <dcterms:modified xsi:type="dcterms:W3CDTF">2022-04-20T12:25:07Z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