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<sst xmlns="http://schemas.openxmlformats.org/spreadsheetml/2006/main" count="3788" uniqueCount="2995">
  <si>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</si>
  <si>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</si>
  <si>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</si>
  <si>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</si>
  <si>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</si>
  <si>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</si>
  <si>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</si>
  <si>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</si>
  <si>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</si>
  <si>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</si>
  <si>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</si>
  <si>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</si>
  <si>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</si>
  <si>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</si>
  <si>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</si>
  <si>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</si>
  <si>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</si>
  <si>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</si>
  <si>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</si>
  <si>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</si>
  <si>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</si>
  <si>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</si>
  <si>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</si>
  <si>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</si>
  <si>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</si>
  <si>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</si>
  <si>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</si>
  <si>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</si>
  <si>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</si>
  <si>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</si>
  <si>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</si>
  <si>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</si>
  <si>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</si>
  <si>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</si>
  <si>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</si>
  <si>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</si>
  <si>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</si>
  <si>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</si>
  <si>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</si>
  <si>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</si>
  <si>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</si>
  <si>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</si>
  <si>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</si>
  <si>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</si>
  <si>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</si>
  <si>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</si>
  <si>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</si>
  <si>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</si>
  <si>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</si>
  <si>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</si>
  <si>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</si>
  <si>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</si>
  <si>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</si>
  <si>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</si>
  <si>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</si>
  <si>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</si>
  <si>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</si>
  <si>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</si>
  <si>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</si>
  <si>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</si>
  <si>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</si>
  <si>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</si>
  <si>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</si>
  <si>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</si>
  <si>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</si>
  <si>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</si>
  <si>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</si>
  <si>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</si>
  <si>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</si>
  <si>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</si>
  <si>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</si>
  <si>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</si>
  <si>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</si>
  <si>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</si>
  <si>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</si>
  <si>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</si>
  <si>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</si>
  <si>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</si>
  <si>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</si>
  <si>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</si>
  <si>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</si>
  <si>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</si>
  <si>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</si>
  <si>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</si>
  <si>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</si>
  <si>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</si>
  <si>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</si>
  <si>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</si>
  <si>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</si>
  <si>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</si>
  <si>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</si>
  <si>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</si>
  <si>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</si>
  <si>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</si>
  <si>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</si>
  <si>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</si>
  <si>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</si>
  <si>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</si>
  <si>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</si>
  <si>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</si>
  <si>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</si>
  <si>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</si>
  <si>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</si>
  <si>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</si>
  <si>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</si>
  <si>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</si>
  <si>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</si>
  <si>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</si>
  <si>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</si>
  <si>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</si>
  <si>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</si>
  <si>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</si>
  <si>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</si>
  <si>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</si>
  <si>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</si>
  <si>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</si>
  <si>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</si>
  <si>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</si>
  <si>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</si>
  <si>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</si>
  <si>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</si>
  <si>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</si>
  <si>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</si>
  <si>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</si>
  <si>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</si>
  <si>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</si>
  <si>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</si>
  <si>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</si>
  <si>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</si>
  <si>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</si>
  <si>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</si>
  <si>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</si>
  <si>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</si>
  <si>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</si>
  <si>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</si>
  <si>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</si>
  <si>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</si>
  <si>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</si>
  <si>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</si>
  <si>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</si>
  <si>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</si>
  <si>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</si>
  <si>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</si>
  <si>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</si>
  <si>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</si>
  <si>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</si>
  <si>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</si>
  <si>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</si>
  <si>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</si>
  <si>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</si>
  <si>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</si>
  <si>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</si>
  <si>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</si>
  <si>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</si>
  <si>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</si>
  <si>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</si>
  <si>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</si>
  <si>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</si>
  <si>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</si>
  <si>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</si>
  <si>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</si>
  <si>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</si>
  <si>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</si>
  <si>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</si>
  <si>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</si>
  <si>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</si>
  <si>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</si>
  <si>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</si>
  <si>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</si>
  <si>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</si>
  <si>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</si>
  <si>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</si>
  <si>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</si>
  <si>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</si>
  <si>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</si>
  <si>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</si>
  <si>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</si>
  <si>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</si>
  <si>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</si>
  <si>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</si>
  <si>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</si>
  <si>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</si>
  <si>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</si>
  <si>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</si>
  <si>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</si>
  <si>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</si>
  <si>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</si>
  <si>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</si>
  <si>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</si>
  <si>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</si>
  <si>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</si>
  <si>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</si>
  <si>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</si>
  <si>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</si>
  <si>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</si>
  <si>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</si>
  <si>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</si>
  <si>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</si>
  <si>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</si>
  <si>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</si>
  <si>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</si>
  <si>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</si>
  <si>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</si>
  <si>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</si>
  <si>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</si>
  <si>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</si>
  <si>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</si>
  <si>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</si>
  <si>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</si>
  <si>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</si>
  <si>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</si>
  <si>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</si>
  <si>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</si>
  <si>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</si>
  <si>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</si>
  <si>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</si>
  <si>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</si>
  <si>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</si>
  <si>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</si>
  <si>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</si>
  <si>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</si>
  <si>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</si>
  <si>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</si>
  <si>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</si>
  <si>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</si>
  <si>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</si>
  <si>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</si>
  <si>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</si>
  <si>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</si>
  <si>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</si>
  <si>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</si>
  <si>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</si>
  <si>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</si>
  <si>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</si>
  <si>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</si>
  <si>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</si>
  <si>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</si>
  <si>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</si>
  <si>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</si>
  <si>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</si>
  <si>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</si>
  <si>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</si>
  <si>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</si>
  <si>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</si>
  <si>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</si>
  <si>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</si>
  <si>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</si>
  <si>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</si>
  <si>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</si>
  <si>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</si>
  <si>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</si>
  <si>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</si>
  <si>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</si>
  <si>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</si>
  <si>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</si>
  <si>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</si>
  <si>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</si>
  <si>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</si>
  <si>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</si>
  <si>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</si>
  <si>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</si>
  <si>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</si>
  <si>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</si>
  <si>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</si>
  <si>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</si>
  <si>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</si>
  <si>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</si>
  <si>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</si>
  <si>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</si>
  <si>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</si>
  <si>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</si>
  <si>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</si>
  <si>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</si>
  <si>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</si>
  <si>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</si>
  <si>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</si>
  <si>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</si>
  <si>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</si>
  <si>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</si>
  <si>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</si>
  <si>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</si>
  <si>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</si>
  <si>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</si>
  <si>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</si>
  <si>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</si>
  <si>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</si>
  <si>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</si>
  <si>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</si>
  <si>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</si>
  <si>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</si>
  <si>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</si>
  <si>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</si>
  <si>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</si>
  <si>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</si>
  <si>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</si>
  <si>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</si>
  <si>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</si>
  <si>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</si>
  <si>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</si>
  <si>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</si>
  <si>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</si>
  <si>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</si>
  <si>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</si>
  <si>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</si>
  <si>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</si>
  <si>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</si>
  <si>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</si>
  <si>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</si>
  <si>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</si>
  <si>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</si>
  <si>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</si>
  <si>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</si>
  <si>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</si>
  <si>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</si>
  <si>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</si>
  <si>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</si>
  <si>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</si>
  <si>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</si>
  <si>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</si>
  <si>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</si>
  <si>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</si>
  <si>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</si>
  <si>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</si>
  <si>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</si>
  <si>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</si>
  <si>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</si>
  <si>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</si>
  <si>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</si>
  <si>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</si>
  <si>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</si>
  <si>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</si>
  <si>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</si>
  <si>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</si>
  <si>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</si>
  <si>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</si>
  <si>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</si>
  <si>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</si>
  <si>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</si>
  <si>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</si>
  <si>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</si>
  <si>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</si>
  <si>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</si>
  <si>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</si>
  <si>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</si>
  <si>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</si>
  <si>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</si>
  <si>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</si>
  <si>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</si>
  <si>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</si>
  <si>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</si>
  <si>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</si>
  <si>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</si>
  <si>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</si>
  <si>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</si>
  <si>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</si>
  <si>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</si>
  <si>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</si>
  <si>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</si>
  <si>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</si>
  <si>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</si>
  <si>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</si>
  <si>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</si>
  <si>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</si>
  <si>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</si>
  <si>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</si>
  <si>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</si>
  <si>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</si>
  <si>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</si>
  <si>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</si>
  <si>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</si>
  <si>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</si>
  <si>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</si>
  <si>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</si>
  <si>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</si>
  <si>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</si>
  <si>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</si>
  <si>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</si>
  <si>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</si>
  <si>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</si>
  <si>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</si>
  <si>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</si>
  <si>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</si>
  <si>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</si>
  <si>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</si>
  <si>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</si>
  <si>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</si>
  <si>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</si>
  <si>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</si>
  <si>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</si>
  <si>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</si>
  <si>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</si>
  <si>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</si>
  <si>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</si>
  <si>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</si>
  <si>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</si>
  <si>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</si>
  <si>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</si>
  <si>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</si>
  <si>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</si>
  <si>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</si>
  <si>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</si>
  <si>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</si>
  <si>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</si>
  <si>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</si>
  <si>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</si>
  <si>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</si>
  <si>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</si>
  <si>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</si>
  <si>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</si>
  <si>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</si>
  <si>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</si>
  <si>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</si>
  <si>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</si>
  <si>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</si>
  <si>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</si>
  <si>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</si>
  <si>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</si>
  <si>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</si>
  <si>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</si>
  <si>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</si>
  <si>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</si>
  <si>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</si>
  <si>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</si>
  <si>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</si>
  <si>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</si>
  <si>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</si>
  <si>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</si>
  <si>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</si>
  <si>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</si>
  <si>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</si>
  <si>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</si>
  <si>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</si>
  <si>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</si>
  <si>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</si>
  <si>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</si>
  <si>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</si>
  <si>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</si>
  <si>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</si>
  <si>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</si>
  <si>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</si>
  <si>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</si>
  <si>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</si>
  <si>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</si>
  <si>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</si>
  <si>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</si>
  <si>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</si>
  <si>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</si>
  <si>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</si>
  <si>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</si>
  <si>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</si>
  <si>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</si>
  <si>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</si>
  <si>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</si>
  <si>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</si>
  <si>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</si>
  <si>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</si>
  <si>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</si>
  <si>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</si>
  <si>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</si>
  <si>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</si>
  <si>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</si>
  <si>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</si>
  <si>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</si>
  <si>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</si>
  <si>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</si>
  <si>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</si>
  <si>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</si>
  <si>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</si>
  <si>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</si>
  <si>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</si>
  <si>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</si>
  <si>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</si>
  <si>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</si>
  <si>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</si>
  <si>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</si>
  <si>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</si>
  <si>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</si>
  <si>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</si>
  <si>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</si>
  <si>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</si>
  <si>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</si>
  <si>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</si>
  <si>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</si>
  <si>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</si>
  <si>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</si>
  <si>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</si>
  <si>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</si>
  <si>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</si>
  <si>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</si>
  <si>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</si>
  <si>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</si>
  <si>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</si>
  <si>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</si>
  <si>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</si>
  <si>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</si>
  <si>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</si>
  <si>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</si>
  <si>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</si>
  <si>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</si>
  <si>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</si>
  <si>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</si>
  <si>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</si>
  <si>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</si>
  <si>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</si>
  <si>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</si>
  <si>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</si>
  <si>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</si>
  <si>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</si>
  <si>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</si>
  <si>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</si>
  <si>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</si>
  <si>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</si>
  <si>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</si>
  <si>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</si>
  <si>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</si>
  <si>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</si>
  <si>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</si>
  <si>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</si>
  <si>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</si>
  <si>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</si>
  <si>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</si>
  <si>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</si>
  <si>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</si>
  <si>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</si>
  <si>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</si>
  <si>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</si>
  <si>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</si>
  <si>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</si>
  <si>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</si>
  <si>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</si>
  <si>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</si>
  <si>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</si>
  <si>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</si>
  <si>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</si>
  <si>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</si>
  <si>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</si>
  <si>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</si>
  <si>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</si>
  <si>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</si>
  <si>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</si>
  <si>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</si>
  <si>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</si>
  <si>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</si>
  <si>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</si>
  <si>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</si>
  <si>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</si>
  <si>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</si>
  <si>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</si>
  <si>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</si>
  <si>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</si>
  <si>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</si>
  <si>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</si>
  <si>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</si>
  <si>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</si>
  <si>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</si>
  <si>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</si>
  <si>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</si>
  <si>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</si>
  <si>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</si>
  <si>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</si>
  <si>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</si>
  <si>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</si>
  <si>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</si>
  <si>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</si>
  <si>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</si>
  <si>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</si>
  <si>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</si>
  <si>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</si>
  <si>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</si>
  <si>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</si>
  <si>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</si>
  <si>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</si>
  <si>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</si>
  <si>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</si>
  <si>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</si>
  <si>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</si>
  <si>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</si>
  <si>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</si>
  <si>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</si>
  <si>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</si>
  <si>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</si>
  <si>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</si>
  <si>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</si>
  <si>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</si>
  <si>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</si>
  <si>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</si>
  <si>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</si>
  <si>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</si>
  <si>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</si>
  <si>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</si>
  <si>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</si>
  <si>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</si>
  <si>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</si>
  <si>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</si>
  <si>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</si>
  <si>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</si>
  <si>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</si>
  <si>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</si>
  <si>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</si>
  <si>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</si>
  <si>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</si>
  <si>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</si>
  <si>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</si>
  <si>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</si>
  <si>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</si>
  <si>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</si>
  <si>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</si>
  <si>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</si>
  <si>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</si>
  <si>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</si>
  <si>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</si>
  <si>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</si>
  <si>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</si>
  <si>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</si>
  <si>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</si>
  <si>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</si>
  <si>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</si>
  <si>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</si>
  <si>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</si>
  <si>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</si>
  <si>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</si>
  <si>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</si>
  <si>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</si>
  <si>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</si>
  <si>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</si>
  <si>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</si>
  <si>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</si>
  <si>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</si>
  <si>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</si>
  <si>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</si>
  <si>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</si>
  <si>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</si>
  <si>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</si>
  <si>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</si>
  <si>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</si>
  <si>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</si>
  <si>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</si>
  <si>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</si>
  <si>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</si>
  <si>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</si>
  <si>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</si>
  <si>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</si>
  <si>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</si>
  <si>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</si>
  <si>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</si>
  <si>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</si>
  <si>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</si>
  <si>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</si>
  <si>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</si>
  <si>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</si>
  <si>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</si>
  <si>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</si>
  <si>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</si>
  <si>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</si>
  <si>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</si>
  <si>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</si>
  <si>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</si>
  <si>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</si>
  <si>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</si>
  <si>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</si>
  <si>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</si>
  <si>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</si>
  <si>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</si>
  <si>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</si>
  <si>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</si>
  <si>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</si>
  <si>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</si>
  <si>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</si>
  <si>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</si>
  <si>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</si>
  <si>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</si>
  <si>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</si>
  <si>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</si>
  <si>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</si>
  <si>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</si>
  <si>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</si>
  <si>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</si>
  <si>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</si>
  <si>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</si>
  <si>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</si>
  <si>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</si>
  <si>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</si>
  <si>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</si>
  <si>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</si>
  <si>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</si>
  <si>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</si>
  <si>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</si>
  <si>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</si>
  <si>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</si>
  <si>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</si>
  <si>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</si>
  <si>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</si>
  <si>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</si>
  <si>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</si>
  <si>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</si>
  <si>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</si>
  <si>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</si>
  <si>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</si>
  <si>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</si>
  <si>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</si>
  <si>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</si>
  <si>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</si>
  <si>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</si>
  <si>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</si>
  <si>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</si>
  <si>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</si>
  <si>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</si>
  <si>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</si>
  <si>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</si>
  <si>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</si>
  <si>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</si>
  <si>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</si>
  <si>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</si>
  <si>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</si>
  <si>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</si>
  <si>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</si>
  <si>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</si>
  <si>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</si>
  <si>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</si>
  <si>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</si>
  <si>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</si>
  <si>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</si>
  <si>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</si>
  <si>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</si>
  <si>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</si>
  <si>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</si>
  <si>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</si>
  <si>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</si>
  <si>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</si>
  <si>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</si>
  <si>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</si>
  <si>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</si>
  <si>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</si>
  <si>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</si>
  <si>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</si>
  <si>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</si>
  <si>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</si>
  <si>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</si>
  <si>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</si>
  <si>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</si>
  <si>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</si>
  <si>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</si>
  <si>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</si>
  <si>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</si>
  <si>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</si>
  <si>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</si>
  <si>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</si>
  <si>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</si>
  <si>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</si>
  <si>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</si>
  <si>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</si>
  <si>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</si>
  <si>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</si>
  <si>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</si>
  <si>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</si>
  <si>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</si>
  <si>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</si>
  <si>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</si>
  <si>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</si>
  <si>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</si>
  <si>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</si>
  <si>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</si>
  <si>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</si>
  <si>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</si>
  <si>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</si>
  <si>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</si>
  <si>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</si>
  <si>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</si>
  <si>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</si>
  <si>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</si>
  <si>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</si>
  <si>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</si>
  <si>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</si>
  <si>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</si>
  <si>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</si>
  <si>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</si>
  <si>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</si>
  <si>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</si>
  <si>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</si>
  <si>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</si>
  <si>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</si>
  <si>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</si>
  <si>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</si>
  <si>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</si>
  <si>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</si>
  <si>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</si>
  <si>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</si>
  <si>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</si>
  <si>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</si>
  <si>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</si>
  <si>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</si>
  <si>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</si>
  <si>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</si>
  <si>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</si>
  <si>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</si>
  <si>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</si>
  <si>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</si>
  <si>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</si>
  <si>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</si>
  <si>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</si>
  <si>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</si>
  <si>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</si>
  <si>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</si>
  <si>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</si>
  <si>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</si>
  <si>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</si>
  <si>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</si>
  <si>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</si>
  <si>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</si>
  <si>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</si>
  <si>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</si>
  <si>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</si>
  <si>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</si>
  <si>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</si>
  <si>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</si>
  <si>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</si>
  <si>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</si>
  <si>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</si>
  <si>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</si>
  <si>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</si>
  <si>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</si>
  <si>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</si>
  <si>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</si>
  <si>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</si>
  <si>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</si>
  <si>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</si>
  <si>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</si>
  <si>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</si>
  <si>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</si>
  <si>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</si>
  <si>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</si>
  <si>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</si>
  <si>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</si>
  <si>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</si>
  <si>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</si>
  <si>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</si>
  <si>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</si>
  <si>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</si>
  <si>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</si>
  <si>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</si>
  <si>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</si>
  <si>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</si>
  <si>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</si>
  <si>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</si>
  <si>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</si>
  <si>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</si>
  <si>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</si>
  <si>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</si>
  <si>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</si>
  <si>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</si>
  <si>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</si>
  <si>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</si>
  <si>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</si>
  <si>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</si>
  <si>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</si>
  <si>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</si>
  <si>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</si>
  <si>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</si>
  <si>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</si>
  <si>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</si>
  <si>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</si>
  <si>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</si>
  <si>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</si>
  <si>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</si>
  <si>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</si>
  <si>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</si>
  <si>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</si>
  <si>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</si>
  <si>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</si>
  <si>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</si>
  <si>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</si>
  <si>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</si>
  <si>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</si>
  <si>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</si>
  <si>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</si>
  <si>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</si>
  <si>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</si>
  <si>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</si>
  <si>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</si>
  <si>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</si>
  <si>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</si>
  <si>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</si>
  <si>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</si>
  <si>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</si>
  <si>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</si>
  <si>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</si>
  <si>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</si>
  <si>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</si>
  <si>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</si>
  <si>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</si>
  <si>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</si>
  <si>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</si>
  <si>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</si>
  <si>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</si>
  <si>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</si>
  <si>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</si>
  <si>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</si>
  <si>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</si>
  <si>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</si>
  <si>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</si>
  <si>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</si>
  <si>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</si>
  <si>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</si>
  <si>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</si>
  <si>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</si>
  <si>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</si>
  <si>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</si>
  <si>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</si>
  <si>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</si>
  <si>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</si>
  <si>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</si>
  <si>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</si>
  <si>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</si>
  <si>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</si>
  <si>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</si>
  <si>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</si>
  <si>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</si>
  <si>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</si>
  <si>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</si>
  <si>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</si>
  <si>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</si>
  <si>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</si>
  <si>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</si>
  <si>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</si>
  <si>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</si>
  <si>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</si>
  <si>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</si>
  <si>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</si>
  <si>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</si>
  <si>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</si>
  <si>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</si>
  <si>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</si>
  <si>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</si>
  <si>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</si>
  <si>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</si>
  <si>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</si>
  <si>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</si>
  <si>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</si>
  <si>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</si>
  <si>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</si>
  <si>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</si>
  <si>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</si>
  <si>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</si>
  <si>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</si>
  <si>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</si>
  <si>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</si>
  <si>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</si>
  <si>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</si>
  <si>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</si>
  <si>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</si>
  <si>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</si>
  <si>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</si>
  <si>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</si>
  <si>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</si>
  <si>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</si>
  <si>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</si>
  <si>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</si>
  <si>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</si>
  <si>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</si>
  <si>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</si>
  <si>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</si>
  <si>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</si>
  <si>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</si>
  <si>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</si>
  <si>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</si>
  <si>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</si>
  <si>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</si>
  <si>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</si>
  <si>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</si>
  <si>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</si>
  <si>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</si>
  <si>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</si>
  <si>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</si>
  <si>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</si>
  <si>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</si>
  <si>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</si>
  <si>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</si>
  <si>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</si>
  <si>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</si>
  <si>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</si>
  <si>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</si>
  <si>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</si>
  <si>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</si>
  <si>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</si>
  <si>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</si>
  <si>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</si>
  <si>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</si>
  <si>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</si>
  <si>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</si>
  <si>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</si>
  <si>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</si>
  <si>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</si>
  <si>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</si>
  <si>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</si>
  <si>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</si>
  <si>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</si>
  <si>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</si>
  <si>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</si>
  <si>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</si>
  <si>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</si>
  <si>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</si>
  <si>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</si>
  <si>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</si>
  <si>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</si>
  <si>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</si>
  <si>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</si>
  <si>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</si>
  <si>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</si>
  <si>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</si>
  <si>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</si>
  <si>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</si>
  <si>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</si>
  <si>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</si>
  <si>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</si>
  <si>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</si>
  <si>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</si>
  <si>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</si>
  <si>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</si>
  <si>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</si>
  <si>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</si>
  <si>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</si>
  <si>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</si>
  <si>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</si>
  <si>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</si>
  <si>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</si>
  <si>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</si>
  <si>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</si>
  <si>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</si>
  <si>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</si>
  <si>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</si>
  <si>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</si>
  <si>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</si>
  <si>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</si>
  <si>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</si>
  <si>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</si>
  <si>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</si>
  <si>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</si>
  <si>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</si>
  <si>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</si>
  <si>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</si>
  <si>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</si>
  <si>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</si>
  <si>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</si>
  <si>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</si>
  <si>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</si>
  <si>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</si>
  <si>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</si>
  <si>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</si>
  <si>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</si>
  <si>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</si>
  <si>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</si>
  <si>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</si>
  <si>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</si>
  <si>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</si>
  <si>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</si>
  <si>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</si>
  <si>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</si>
  <si>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</si>
  <si>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</si>
  <si>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</si>
  <si>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</si>
  <si>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</si>
  <si>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</si>
  <si>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</si>
  <si>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</si>
  <si>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</si>
  <si>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</si>
  <si>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</si>
  <si>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</si>
  <si>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</si>
  <si>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</si>
  <si>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</si>
  <si>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</si>
  <si>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</si>
  <si>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</si>
  <si>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</si>
  <si>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</si>
  <si>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</si>
  <si>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</si>
  <si>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</si>
  <si>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</si>
  <si>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</si>
  <si>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</si>
  <si>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</si>
  <si>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</si>
  <si>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</si>
  <si>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</si>
  <si>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</si>
  <si>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</si>
  <si>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</si>
  <si>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</si>
  <si>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</si>
  <si>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</si>
  <si>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</si>
  <si>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</si>
  <si>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</si>
  <si>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</si>
  <si>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</si>
  <si>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</si>
  <si>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</si>
  <si>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</si>
  <si>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</si>
  <si>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</si>
  <si>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</si>
  <si>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</si>
  <si>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</si>
  <si>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</si>
  <si>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</si>
  <si>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</si>
  <si>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</si>
  <si>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</si>
  <si>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</si>
  <si>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</si>
  <si>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</si>
  <si>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</si>
  <si>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</si>
  <si>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</si>
  <si>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</si>
  <si>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</si>
  <si>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</si>
  <si>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</si>
  <si>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</si>
  <si>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</si>
  <si>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</si>
  <si>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</si>
  <si>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</si>
  <si>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</si>
  <si>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</si>
  <si>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</si>
  <si>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</si>
  <si>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</si>
  <si>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</si>
  <si>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</si>
  <si>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</si>
  <si>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</si>
  <si>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</si>
  <si>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</si>
  <si>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</si>
  <si>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</si>
  <si>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</si>
  <si>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</si>
  <si>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</si>
  <si>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</si>
  <si>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</si>
  <si>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</si>
  <si>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</si>
  <si>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</si>
  <si>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</si>
  <si>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</si>
  <si>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</si>
  <si>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</si>
  <si>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</si>
  <si>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</si>
  <si>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</si>
  <si>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</si>
  <si>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</si>
  <si>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</si>
  <si>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</si>
  <si>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</si>
  <si>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</si>
  <si>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</si>
  <si>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</si>
  <si>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</si>
  <si>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</si>
  <si>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</si>
  <si>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</si>
  <si>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</si>
  <si>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</si>
  <si>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</si>
  <si>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</si>
  <si>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</si>
  <si>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</si>
  <si>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</si>
  <si>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</si>
  <si>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</si>
  <si>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</si>
  <si>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</si>
  <si>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</si>
  <si>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</si>
  <si>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</si>
  <si>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</si>
  <si>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</si>
  <si>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</si>
  <si>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</si>
  <si>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</si>
  <si>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</si>
  <si>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</si>
  <si>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</si>
  <si>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</si>
  <si>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</si>
  <si>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</si>
  <si>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</si>
  <si>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</si>
  <si>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</si>
  <si>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</si>
  <si>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</si>
  <si>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</si>
  <si>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</si>
  <si>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</si>
  <si>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</si>
  <si>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</si>
  <si>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</si>
  <si>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</si>
  <si>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</si>
  <si>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</si>
  <si>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</si>
  <si>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</si>
  <si>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</si>
  <si>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</si>
  <si>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</si>
  <si>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</si>
  <si>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</si>
  <si>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</si>
  <si>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</si>
  <si>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</si>
  <si>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</si>
  <si>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</si>
  <si>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</si>
  <si>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</si>
  <si>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</si>
  <si>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</si>
  <si>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</si>
  <si>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</si>
  <si>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</si>
  <si>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</si>
  <si>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</si>
  <si>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</si>
  <si>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</si>
  <si>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</si>
  <si>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</si>
  <si>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</si>
  <si>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</si>
  <si>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</si>
  <si>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</si>
  <si>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</si>
  <si>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</si>
  <si>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</si>
  <si>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</si>
  <si>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</si>
  <si>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</si>
  <si>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</si>
  <si>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</si>
  <si>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</si>
  <si>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</si>
  <si>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</si>
  <si>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</si>
  <si>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</si>
  <si>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</si>
  <si>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</si>
  <si>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</si>
  <si>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</si>
  <si>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</si>
  <si>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</si>
  <si>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</si>
  <si>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</si>
  <si>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</si>
  <si>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</si>
  <si>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</si>
  <si>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</si>
  <si>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</si>
  <si>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</si>
  <si>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</si>
  <si>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</si>
  <si>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</si>
  <si>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</si>
  <si>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</si>
  <si>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</si>
  <si>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</si>
  <si>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</si>
  <si>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</si>
  <si>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</si>
  <si>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</si>
  <si>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</si>
  <si>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</si>
  <si>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</si>
  <si>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</si>
  <si>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</si>
  <si>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</si>
  <si>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</si>
  <si>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</si>
  <si>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</si>
  <si>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</si>
  <si>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</si>
  <si>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</si>
  <si>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</si>
  <si>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</si>
  <si>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</si>
  <si>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</si>
  <si>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</si>
  <si>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</si>
  <si>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</si>
  <si>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</si>
  <si>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</si>
  <si>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</si>
  <si>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</si>
  <si>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</si>
  <si>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</si>
  <si>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</si>
  <si>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</si>
  <si>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</si>
  <si>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</si>
  <si>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</si>
  <si>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</si>
  <si>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</si>
  <si>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</si>
  <si>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</si>
  <si>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</si>
  <si>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</si>
  <si>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</si>
  <si>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</si>
  <si>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</si>
  <si>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</si>
  <si>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</si>
  <si>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</si>
  <si>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</si>
  <si>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</si>
  <si>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</si>
  <si>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</si>
  <si>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</si>
  <si>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</si>
  <si>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</si>
  <si>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</si>
  <si>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</si>
  <si>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</si>
  <si>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</si>
  <si>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</si>
  <si>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</si>
  <si>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</si>
  <si>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</si>
  <si>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</si>
  <si>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</si>
  <si>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</si>
  <si>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</si>
  <si>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</si>
  <si>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</si>
  <si>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</si>
  <si>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</si>
  <si>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</si>
  <si>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</si>
  <si>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</si>
  <si>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</si>
  <si>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</si>
  <si>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</si>
  <si>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</si>
  <si>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</si>
  <si>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</si>
  <si>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</si>
  <si>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</si>
  <si>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</si>
  <si>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</si>
  <si>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</si>
  <si>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</si>
  <si>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</si>
  <si>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</si>
  <si>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</si>
  <si>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</si>
  <si>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</si>
  <si>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</si>
  <si>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</si>
  <si>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</si>
  <si>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</si>
  <si>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</si>
  <si>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</si>
  <si>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</si>
  <si>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</si>
  <si>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</si>
  <si>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</si>
  <si>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</si>
  <si>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</si>
  <si>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</si>
  <si>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</si>
  <si>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</si>
  <si>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</si>
  <si>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</si>
  <si>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</si>
  <si>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</si>
  <si>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</si>
  <si>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</si>
  <si>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</si>
  <si>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</si>
  <si>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</si>
  <si>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</si>
  <si>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</si>
  <si>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</si>
  <si>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</si>
  <si>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</si>
  <si>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</si>
  <si>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</si>
  <si>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</si>
  <si>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</si>
  <si>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</si>
  <si>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</si>
  <si>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</si>
  <si>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</si>
  <si>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</si>
  <si>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</si>
  <si>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</si>
  <si>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</si>
  <si>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</si>
  <si>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</si>
  <si>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</si>
  <si>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</si>
  <si>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</si>
  <si>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</si>
  <si>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</si>
  <si>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</si>
  <si>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</si>
  <si>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</si>
  <si>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</si>
  <si>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</si>
  <si>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</si>
  <si>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</si>
  <si>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</si>
  <si>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</si>
  <si>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</si>
  <si>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</si>
  <si>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</si>
  <si>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</si>
  <si>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</si>
  <si>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</si>
  <si>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</si>
  <si>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</si>
  <si>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</si>
  <si>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</si>
  <si>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</si>
  <si>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</si>
  <si>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</si>
  <si>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</si>
  <si>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</si>
  <si>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</si>
  <si>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</si>
  <si>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</si>
  <si>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</si>
  <si>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</si>
  <si>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</si>
  <si>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</si>
  <si>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</si>
  <si>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</si>
  <si>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</si>
  <si>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</si>
  <si>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</si>
  <si>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</si>
  <si>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</si>
  <si>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</si>
  <si>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</si>
  <si>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</si>
  <si>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</si>
  <si>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</si>
  <si>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</si>
  <si>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</si>
  <si>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</si>
  <si>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</si>
  <si>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</si>
  <si>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</si>
  <si>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</si>
  <si>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</si>
  <si>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</si>
  <si>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</si>
  <si>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</si>
  <si>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</si>
  <si>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</si>
  <si>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</si>
  <si>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</si>
  <si>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</si>
  <si>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</si>
  <si>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</si>
  <si>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</si>
  <si>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</si>
  <si>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</si>
  <si>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</si>
  <si>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</si>
  <si>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</si>
  <si>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</si>
  <si>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</si>
  <si>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</si>
  <si>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</si>
  <si>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</si>
  <si>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</si>
  <si>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</si>
  <si>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</si>
  <si>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</si>
  <si>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</si>
  <si>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</si>
  <si>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</si>
  <si>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</si>
  <si>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</si>
  <si>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</si>
  <si>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</si>
  <si>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</si>
  <si>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</si>
  <si>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</si>
  <si>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</si>
  <si>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</si>
  <si>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</si>
  <si>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</si>
  <si>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</si>
  <si>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</si>
  <si>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</si>
  <si>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</si>
  <si>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</si>
  <si>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</si>
  <si>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</si>
  <si>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</si>
  <si>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</si>
  <si>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</si>
  <si>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</si>
  <si>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</si>
  <si>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</si>
  <si>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</si>
  <si>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</si>
  <si>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</si>
  <si>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</si>
  <si>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</si>
  <si>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</si>
  <si>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</si>
  <si>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</si>
  <si>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</si>
  <si>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</si>
  <si>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</si>
  <si>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</si>
  <si>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</si>
  <si>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</si>
  <si>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</si>
  <si>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</si>
  <si>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</si>
  <si>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</si>
  <si>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</si>
  <si>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</si>
  <si>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</si>
  <si>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</si>
  <si>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</si>
  <si>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</si>
  <si>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</si>
  <si>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</si>
  <si>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</si>
  <si>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</si>
  <si>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</si>
  <si>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</si>
  <si>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</si>
  <si>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</si>
  <si>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</si>
  <si>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</si>
  <si>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</si>
  <si>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</si>
  <si>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</si>
  <si>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</si>
  <si>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</si>
  <si>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</si>
  <si>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</si>
  <si>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</si>
  <si>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</si>
  <si>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</si>
  <si>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</si>
  <si>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</si>
  <si>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</si>
  <si>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</si>
  <si>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</si>
  <si>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</si>
  <si>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</si>
  <si>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</si>
  <si>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</si>
  <si>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</si>
  <si>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</si>
  <si>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</si>
  <si>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</si>
  <si>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</si>
  <si>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</si>
  <si>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</si>
  <si>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</si>
  <si>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</si>
  <si>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</si>
  <si>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</si>
  <si>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</si>
  <si>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</si>
  <si>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</si>
  <si>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</si>
  <si>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</si>
  <si>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</si>
  <si>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</si>
  <si>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</si>
  <si>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</si>
  <si>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</si>
  <si>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</si>
  <si>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</si>
  <si>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</si>
  <si>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</si>
  <si>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</si>
  <si>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</si>
  <si>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</si>
  <si>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</si>
  <si>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</si>
  <si>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</si>
  <si>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</si>
  <si>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</si>
  <si>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</si>
  <si>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</si>
  <si>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</si>
  <si>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</si>
  <si>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</si>
  <si>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</si>
  <si>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</si>
  <si>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</si>
  <si>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</si>
  <si>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</si>
  <si>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</si>
  <si>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</si>
  <si>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</si>
  <si>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</si>
  <si>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</si>
  <si>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</si>
  <si>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</si>
  <si>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</si>
  <si>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</si>
  <si>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</si>
  <si>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</si>
  <si>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</si>
  <si>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</si>
  <si>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</si>
  <si>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</si>
  <si>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</si>
  <si>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</si>
  <si>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</si>
  <si>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</si>
  <si>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</si>
  <si>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</si>
  <si>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</si>
  <si>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</si>
  <si>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</si>
  <si>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</si>
  <si>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</si>
  <si>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</si>
  <si>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</si>
  <si>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</si>
  <si>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</si>
  <si>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</si>
  <si>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</si>
  <si>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</si>
  <si>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</si>
  <si>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</si>
  <si>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</si>
  <si>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</si>
  <si>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</si>
  <si>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</si>
  <si>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</si>
  <si>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</si>
  <si>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</si>
  <si>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</si>
  <si>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</si>
  <si>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</si>
  <si>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</si>
  <si>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</si>
  <si>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</si>
  <si>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</si>
  <si>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</si>
  <si>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</si>
  <si>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</si>
  <si>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</si>
  <si>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</si>
  <si>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</si>
  <si>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</si>
  <si>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</si>
  <si>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</si>
  <si>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</si>
  <si>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</si>
  <si>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</si>
  <si>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</si>
  <si>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</si>
  <si>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</si>
  <si>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</si>
  <si>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</si>
  <si>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</si>
  <si>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</si>
  <si>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</si>
  <si>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</si>
  <si>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</si>
  <si>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</si>
  <si>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</si>
  <si>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</si>
  <si>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</si>
  <si>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</si>
  <si>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</si>
  <si>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</si>
  <si>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</si>
  <si>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</si>
  <si>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</si>
  <si>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</si>
  <si>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</si>
  <si>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</si>
  <si>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</si>
  <si>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</si>
  <si>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</si>
  <si>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</si>
  <si>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</si>
  <si>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</si>
  <si>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</si>
  <si>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</si>
  <si>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</si>
  <si>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</si>
  <si>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</si>
  <si>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</si>
  <si>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</si>
  <si>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</si>
  <si>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</si>
  <si>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</si>
  <si>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</si>
  <si>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</si>
  <si>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</si>
  <si>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</si>
  <si>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</si>
  <si>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</si>
  <si>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</si>
  <si>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</si>
  <si>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</si>
  <si>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</si>
  <si>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</si>
  <si>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</si>
  <si>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</si>
  <si>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</si>
  <si>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</si>
  <si>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</si>
  <si>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</si>
  <si>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</si>
  <si>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</si>
  <si>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</si>
  <si>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</si>
  <si>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</si>
  <si>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</si>
  <si>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</si>
  <si>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</si>
  <si>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</si>
  <si>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</si>
  <si>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</si>
  <si>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</si>
  <si>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</si>
  <si>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</si>
  <si>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</si>
  <si>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</si>
  <si>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</si>
  <si>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</si>
  <si>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</si>
  <si>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</si>
  <si>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</si>
  <si>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</si>
  <si>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</si>
  <si>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</si>
  <si>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</si>
  <si>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</si>
  <si>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</si>
  <si>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</si>
  <si>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</si>
  <si>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</si>
  <si>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</si>
  <si>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</si>
  <si>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</si>
  <si>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</si>
  <si>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</si>
  <si>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</si>
  <si>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</si>
  <si>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</si>
  <si>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</si>
  <si>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</si>
  <si>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</si>
  <si>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</si>
  <si>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</si>
  <si>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</si>
  <si>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</si>
  <si>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</si>
  <si>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</si>
  <si>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</si>
  <si>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</si>
  <si>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</si>
  <si>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</si>
  <si>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</si>
  <si>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</si>
  <si>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</si>
  <si>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</si>
  <si>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</si>
  <si>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</si>
  <si>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</si>
  <si>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</si>
  <si>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</si>
  <si>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</si>
  <si>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</si>
  <si>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</si>
  <si>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</si>
  <si>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</si>
  <si>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</si>
  <si>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</si>
  <si>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</si>
  <si>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</si>
  <si>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</si>
  <si>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</si>
  <si>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</si>
  <si>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</si>
  <si>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</si>
  <si>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</si>
  <si>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</si>
  <si>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</si>
  <si>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</si>
  <si>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</si>
  <si>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</si>
  <si>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</si>
  <si>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</si>
  <si>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</si>
  <si>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</si>
  <si>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</si>
  <si>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</si>
  <si>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</si>
  <si>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</si>
  <si>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</si>
  <si>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</si>
  <si>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</si>
  <si>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</si>
  <si>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</si>
  <si>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</si>
  <si>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</si>
  <si>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</si>
  <si>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</si>
  <si>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</si>
  <si>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</si>
  <si>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</si>
  <si>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</si>
  <si>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</si>
  <si>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</si>
  <si>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</si>
  <si>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</si>
  <si>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</si>
  <si>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</si>
  <si>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</si>
  <si>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</si>
  <si>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</si>
  <si>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</si>
  <si>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</si>
  <si>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</si>
  <si>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</si>
  <si>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</si>
  <si>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</si>
  <si>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</si>
  <si>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</si>
  <si>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</si>
  <si>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</si>
  <si>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</si>
  <si>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</si>
  <si>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</si>
  <si>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</si>
  <si>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</si>
  <si>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</si>
  <si>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</si>
  <si>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</si>
  <si>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</si>
  <si>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</si>
  <si>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</si>
  <si>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</si>
  <si>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</si>
  <si>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</si>
  <si>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</si>
  <si>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</si>
  <si>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</si>
  <si>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</si>
  <si>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</si>
  <si>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</si>
  <si>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</si>
  <si>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</si>
  <si>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</si>
  <si>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</si>
  <si>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</si>
  <si>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</si>
  <si>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</si>
  <si>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</si>
  <si>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</si>
  <si>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</si>
  <si>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</si>
  <si>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</si>
  <si>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</si>
  <si>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</si>
  <si>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</si>
  <si>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</si>
  <si>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</si>
  <si>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</si>
  <si>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</si>
  <si>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</si>
  <si>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</si>
  <si>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</si>
  <si>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</si>
  <si>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</si>
  <si>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</si>
  <si>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</si>
  <si>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</si>
  <si>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</si>
  <si>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</si>
  <si>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</si>
  <si>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</si>
  <si>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</si>
  <si>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</si>
  <si>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</si>
  <si>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</si>
  <si>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</si>
  <si>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</si>
  <si>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</si>
  <si>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</si>
  <si>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</si>
  <si>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</si>
  <si>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</si>
  <si>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</si>
  <si>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</si>
  <si>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</si>
  <si>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</si>
  <si>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</si>
  <si>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</si>
  <si>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</si>
  <si>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</si>
  <si>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</si>
  <si>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</si>
  <si>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</si>
  <si>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</si>
  <si>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</si>
  <si>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</si>
  <si>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</si>
  <si>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</si>
  <si>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</si>
  <si>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</si>
  <si>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</si>
  <si>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</si>
  <si>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</si>
  <si>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</si>
  <si>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</si>
  <si>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</si>
  <si>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</si>
  <si>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</si>
  <si>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</si>
  <si>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</si>
  <si>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</si>
  <si>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</si>
  <si>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</si>
  <si>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</si>
  <si>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</si>
  <si>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</si>
  <si>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</si>
  <si>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</si>
  <si>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</si>
  <si>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</si>
  <si>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</si>
  <si>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</si>
  <si>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</si>
  <si>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</si>
  <si>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</si>
  <si>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</si>
  <si>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</si>
  <si>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</si>
  <si>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</si>
  <si>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</si>
  <si>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</si>
  <si>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</si>
  <si>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</si>
  <si>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</si>
  <si>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</si>
  <si>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</si>
  <si>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</si>
  <si>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</si>
  <si>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</si>
  <si>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</si>
  <si>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</si>
  <si>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</si>
  <si>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</si>
  <si>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</si>
  <si>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</si>
  <si>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</si>
  <si>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</si>
  <si>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</si>
  <si>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</si>
  <si>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</si>
  <si>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</si>
  <si>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</si>
  <si>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</si>
  <si>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</si>
  <si>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</si>
  <si>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</si>
  <si>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</si>
  <si>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</si>
  <si>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</si>
  <si>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</si>
  <si>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</si>
  <si>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</si>
  <si>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</si>
  <si>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</si>
  <si>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</si>
  <si>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</si>
  <si>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</si>
  <si>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</si>
  <si>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</si>
  <si>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</si>
  <si>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</si>
  <si>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</si>
  <si>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</si>
  <si>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</si>
  <si>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</si>
  <si>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</si>
  <si>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</si>
  <si>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</si>
  <si>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</si>
  <si>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</si>
  <si>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</si>
  <si>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</si>
  <si>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</si>
  <si>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</si>
  <si>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</si>
  <si>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</si>
  <si>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</si>
  <si>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</si>
  <si>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</si>
  <si>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</si>
  <si>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</si>
  <si>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</si>
  <si>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</si>
  <si>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</si>
  <si>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</si>
  <si>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</si>
  <si>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</si>
  <si>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</si>
  <si>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</si>
  <si>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</si>
  <si>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</si>
  <si>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</si>
  <si>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</si>
  <si>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</si>
  <si>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</si>
  <si>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</si>
  <si>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</si>
  <si>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</si>
  <si>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</si>
  <si>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</si>
  <si>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</si>
  <si>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</si>
  <si>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</si>
  <si>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</si>
  <si>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</si>
  <si>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</si>
  <si>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</si>
  <si>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</si>
  <si>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</si>
  <si>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</si>
  <si>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</si>
  <si>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</si>
  <si>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</si>
  <si>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</si>
  <si>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</si>
  <si>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</si>
  <si>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</si>
  <si>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</si>
  <si>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</si>
  <si>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</si>
  <si>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</si>
  <si>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</si>
  <si>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</si>
  <si>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</si>
  <si>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</si>
  <si>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</si>
  <si>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</si>
  <si>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</si>
  <si>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</si>
  <si>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</si>
  <si>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</si>
  <si>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</si>
  <si>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</si>
  <si>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</si>
  <si>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</si>
  <si>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</si>
  <si>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</si>
  <si>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</si>
  <si>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</si>
  <si>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</si>
  <si>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</si>
  <si>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</si>
  <si>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</si>
  <si>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</si>
  <si>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</si>
  <si>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</si>
  <si>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</si>
  <si>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</si>
  <si>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</si>
  <si>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</si>
  <si>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</si>
  <si>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</si>
  <si>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</si>
  <si>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</si>
  <si>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</si>
  <si>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</si>
  <si>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</si>
  <si>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</si>
  <si>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</si>
  <si>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</si>
  <si>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</si>
  <si>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</si>
  <si>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</si>
  <si>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</si>
  <si>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</si>
  <si>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</si>
  <si>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</si>
  <si>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</si>
  <si>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</si>
  <si>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</si>
  <si>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</si>
  <si>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</si>
  <si>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</si>
  <si>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</si>
  <si>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</si>
  <si>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</si>
  <si>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</si>
  <si>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</si>
  <si>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</si>
  <si>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</si>
  <si>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</si>
  <si>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</si>
  <si>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</si>
  <si>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</si>
  <si>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</si>
  <si>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</si>
  <si>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</si>
  <si>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</si>
  <si>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</si>
  <si>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</si>
  <si>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</si>
  <si>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</si>
  <si>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</si>
  <si>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</si>
  <si>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</si>
  <si>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</si>
  <si>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</si>
  <si>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</si>
  <si>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</si>
  <si>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</si>
  <si>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</si>
  <si>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</si>
  <si>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</si>
  <si>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</si>
  <si>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</si>
  <si>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</si>
  <si>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</si>
  <si>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</si>
  <si>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</si>
  <si>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</si>
  <si>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</si>
  <si>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</si>
  <si>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</si>
  <si>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</si>
  <si>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</si>
  <si>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</si>
  <si>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</si>
  <si>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</si>
  <si>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</si>
  <si>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</si>
  <si>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</si>
  <si>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</si>
  <si>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</si>
  <si>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</si>
  <si>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</si>
  <si>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</si>
  <si>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</si>
  <si>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</si>
  <si>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</si>
  <si>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</si>
  <si>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</si>
  <si>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</si>
  <si>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</si>
  <si>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</si>
  <si>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</si>
  <si>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</si>
  <si>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</si>
  <si>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</si>
  <si>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</si>
  <si>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</si>
  <si>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</si>
  <si>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</si>
  <si>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</si>
  <si>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</si>
  <si>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</si>
  <si>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</si>
  <si>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</si>
  <si>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</si>
  <si>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</si>
  <si>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</si>
  <si>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</si>
  <si>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</si>
  <si>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</si>
  <si>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</si>
  <si>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</si>
  <si>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</si>
  <si>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</si>
  <si>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</si>
  <si>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</si>
  <si>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</si>
  <si>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</si>
  <si>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</si>
  <si>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</si>
  <si>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</si>
  <si>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</si>
  <si>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</si>
  <si>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</si>
  <si>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</si>
  <si>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</si>
  <si>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</si>
  <si>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</si>
  <si>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</si>
  <si>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</si>
  <si>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</si>
  <si>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</si>
  <si>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</si>
  <si>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</si>
  <si>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</si>
  <si>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</si>
  <si>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</si>
  <si>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</si>
  <si>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</si>
  <si>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</si>
  <si>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</si>
  <si>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</si>
  <si>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</si>
  <si>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</si>
  <si>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</si>
  <si>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</si>
  <si>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</si>
  <si>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</si>
  <si>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</si>
  <si>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</si>
  <si>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</si>
  <si>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</si>
  <si>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</si>
  <si>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</si>
  <si>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</si>
  <si>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</si>
  <si>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</si>
  <si>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</si>
  <si>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</si>
  <si>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</si>
  <si>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</si>
  <si>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</si>
  <si>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</si>
  <si>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</si>
  <si>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</si>
  <si>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</si>
  <si>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</si>
  <si>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</si>
  <si>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</si>
  <si>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</si>
  <si>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</si>
  <si>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</si>
  <si>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</si>
  <si>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</si>
  <si>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</si>
  <si>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</si>
  <si>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</si>
  <si>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</si>
  <si>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</si>
  <si>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</si>
  <si>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</si>
  <si>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</si>
  <si>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</si>
  <si>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</si>
  <si>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</si>
  <si>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</si>
  <si>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</si>
  <si>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</si>
  <si>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</si>
  <si>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</si>
  <si>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</si>
  <si>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</si>
  <si>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</si>
  <si>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</si>
  <si>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</si>
  <si>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</si>
  <si>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</si>
  <si>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</si>
  <si>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</si>
  <si>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</si>
  <si>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</si>
  <si>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</si>
  <si>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</si>
  <si>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</si>
  <si>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</si>
  <si>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</si>
  <si>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</si>
  <si>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</si>
  <si>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</si>
  <si>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</si>
  <si>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</si>
  <si>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</si>
  <si>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</si>
  <si>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</si>
  <si>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</si>
  <si>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</si>
  <si>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</si>
  <si>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</si>
  <si>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</si>
  <si>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</si>
  <si>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</si>
  <si>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</si>
  <si>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</si>
  <si>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</si>
  <si>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</si>
  <si>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</si>
  <si>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</si>
  <si>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</si>
  <si>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</si>
  <si>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</si>
  <si>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</si>
  <si>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</si>
  <si>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</si>
  <si>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</si>
  <si>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</si>
  <si>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</si>
  <si>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</si>
  <si>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</si>
  <si>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</si>
  <si>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</si>
  <si>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</si>
  <si>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</si>
  <si>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</si>
  <si>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</si>
  <si>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</si>
  <si>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</si>
  <si>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</si>
  <si>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</si>
  <si>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</si>
  <si>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</si>
  <si>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</si>
  <si>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</si>
  <si>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</si>
  <si>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</si>
  <si>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</si>
  <si>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</si>
  <si>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</si>
  <si>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</si>
  <si>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</si>
  <si>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</si>
  <si>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</si>
  <si>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</si>
  <si>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</si>
  <si>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</si>
  <si>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</si>
  <si>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</si>
  <si>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</si>
  <si>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</si>
  <si>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</si>
  <si>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</si>
  <si>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</si>
  <si>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</si>
  <si>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</si>
  <si>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</si>
  <si>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</si>
  <si>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</si>
  <si>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</si>
  <si>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</si>
  <si>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</si>
  <si>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</si>
  <si>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</si>
  <si>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</si>
  <si>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</si>
  <si>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</si>
  <si>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</si>
  <si>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</si>
  <si>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</si>
  <si>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</si>
  <si>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</si>
  <si>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</si>
  <si>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</si>
  <si>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</si>
  <si>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</si>
  <si>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</si>
  <si>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</si>
  <si>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</si>
  <si>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</si>
  <si>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</si>
  <si>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</si>
  <si>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</si>
  <si>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</si>
  <si>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</si>
  <si>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</si>
  <si>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</si>
  <si>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</si>
  <si>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</si>
  <si>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</si>
  <si>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</si>
  <si>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</si>
  <si>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</si>
  <si>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</si>
  <si>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</si>
  <si>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</si>
  <si>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</si>
  <si>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</si>
  <si>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</si>
  <si>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</si>
  <si>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</si>
  <si>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</si>
  <si>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</si>
  <si>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</si>
  <si>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</si>
  <si>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</si>
  <si>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</si>
  <si>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</si>
  <si>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</si>
  <si>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</si>
  <si>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</si>
  <si>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</si>
  <si>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</si>
  <si>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</si>
  <si>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</si>
  <si>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</si>
  <si>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</si>
  <si>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</si>
  <si>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</si>
  <si>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</si>
  <si>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</si>
  <si>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</si>
  <si>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</si>
  <si>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</si>
  <si>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</si>
  <si>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</si>
  <si>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</si>
  <si>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</si>
  <si>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</si>
  <si>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</si>
  <si>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</si>
  <si>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</si>
  <si>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</si>
  <si>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</si>
  <si>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</si>
  <si>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</si>
  <si>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</si>
  <si>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</si>
  <si>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</si>
  <si>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</si>
  <si>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</si>
  <si>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</si>
  <si>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</si>
  <si>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</si>
  <si>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</si>
  <si>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</si>
  <si>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</si>
  <si>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</si>
  <si>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</si>
  <si>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</si>
  <si>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</si>
  <si>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</si>
  <si>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</si>
  <si>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</si>
  <si>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</si>
  <si>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</si>
  <si>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</si>
  <si>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</si>
  <si>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</si>
  <si>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</si>
  <si>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</si>
  <si>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</si>
  <si>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</si>
  <si>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</si>
  <si>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</si>
  <si>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</si>
  <si>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</si>
  <si>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</si>
  <si>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</si>
  <si>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</si>
  <si>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</si>
  <si>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</si>
  <si>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</si>
  <si>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</si>
  <si>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</si>
  <si>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</si>
  <si>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</si>
  <si>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</si>
  <si>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</si>
  <si>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</si>
  <si>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</si>
  <si>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</si>
  <si>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</si>
  <si>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</si>
  <si>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</si>
  <si>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</si>
  <si>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</si>
  <si>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</si>
  <si>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</si>
  <si>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</si>
  <si>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</si>
  <si>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</si>
  <si>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</si>
  <si>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</si>
  <si>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</si>
  <si>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</si>
  <si>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</si>
  <si>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</si>
  <si>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</si>
  <si>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</si>
  <si>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</si>
  <si>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</si>
  <si>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</si>
  <si>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</si>
  <si>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</si>
  <si>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</si>
  <si>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</si>
  <si>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</si>
  <si>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</si>
  <si>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</si>
  <si>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</si>
  <si>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</si>
  <si>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</si>
  <si>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</si>
  <si>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</si>
  <si>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</si>
  <si>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</si>
  <si>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</si>
  <si>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</si>
  <si>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</si>
  <si>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</si>
  <si>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</si>
  <si>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</si>
  <si>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</si>
  <si>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</si>
  <si>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</si>
  <si>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</si>
  <si>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</si>
  <si>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</si>
  <si>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</si>
  <si>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</si>
  <si>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</si>
  <si>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</si>
  <si>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</si>
  <si>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</si>
  <si>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</si>
  <si>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</si>
  <si>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</si>
  <si>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</si>
  <si>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</si>
  <si>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</si>
  <si>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</si>
  <si>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</si>
  <si>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</si>
  <si>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</si>
  <si>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</si>
  <si>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</si>
  <si>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</si>
  <si>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</si>
  <si>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</si>
  <si>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</si>
  <si>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</si>
  <si>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</si>
  <si>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</si>
  <si>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</si>
  <si>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</si>
  <si>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</si>
  <si>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</si>
  <si>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</si>
  <si>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</si>
  <si>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</si>
  <si>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</si>
  <si>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</si>
  <si>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</si>
  <si>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</si>
  <si>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</si>
  <si>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</si>
  <si>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</si>
  <si>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</si>
  <si>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</si>
  <si>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</si>
  <si>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</si>
  <si>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</si>
  <si>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</si>
  <si>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</si>
  <si>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</si>
  <si>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</si>
  <si>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</si>
  <si>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</si>
  <si>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</si>
  <si>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</si>
  <si>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</si>
  <si>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</si>
  <si>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</si>
  <si>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</si>
  <si>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</si>
  <si>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</si>
  <si>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</si>
  <si>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</si>
  <si>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</si>
  <si>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</si>
  <si>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</si>
  <si>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</si>
  <si>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</si>
  <si>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</si>
  <si>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</si>
  <si>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</si>
  <si>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</si>
  <si>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</si>
  <si>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</si>
  <si>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</si>
  <si>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</si>
  <si>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</si>
  <si>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</si>
  <si>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</si>
  <si>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</si>
  <si>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</si>
  <si>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</si>
  <si>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</si>
  <si>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</si>
  <si>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</si>
  <si>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</si>
  <si>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</si>
  <si>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</si>
  <si>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</si>
  <si>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</si>
  <si>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</si>
  <si>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</si>
  <si>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</si>
  <si>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</si>
  <si>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</si>
  <si>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</si>
  <si>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</si>
  <si>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</si>
  <si>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</si>
  <si>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</si>
  <si>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</si>
  <si>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</si>
  <si>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</si>
  <si>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</si>
  <si>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</si>
  <si>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</si>
  <si>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</si>
  <si>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</si>
  <si>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</si>
  <si>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</si>
  <si>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</si>
  <si>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</si>
  <si>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</si>
  <si>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</si>
  <si>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</si>
  <si>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</si>
  <si>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</si>
  <si>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</si>
  <si>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</si>
  <si>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</si>
  <si>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</si>
  <si>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</si>
  <si>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</si>
  <si>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</si>
  <si>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</si>
  <si>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</si>
  <si>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</si>
  <si>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</si>
  <si>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</si>
  <si>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</si>
  <si>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</si>
  <si>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</si>
  <si>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</si>
  <si>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</si>
  <si>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</si>
  <si>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</si>
  <si>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</si>
  <si>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</si>
  <si>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</si>
  <si>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</si>
  <si>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</si>
  <si>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</si>
  <si>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</si>
  <si>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</si>
  <si>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</si>
  <si>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</si>
  <si>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</si>
  <si>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</si>
  <si>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</si>
  <si>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</si>
  <si>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</si>
  <si>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</si>
  <si>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</si>
  <si>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</si>
  <si>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</si>
  <si>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</si>
  <si>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</si>
  <si>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</si>
  <si>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</si>
  <si>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</si>
  <si>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</si>
  <si>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</si>
  <si>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</si>
  <si>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</si>
  <si>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</si>
  <si>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</si>
  <si>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</si>
  <si>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</si>
  <si>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</si>
  <si>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</si>
  <si>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</si>
  <si>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</si>
  <si>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</si>
  <si>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</si>
  <si>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</si>
  <si>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</si>
  <si>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</si>
  <si>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</si>
  <si>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</si>
  <si>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</si>
  <si>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</si>
  <si>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</si>
  <si>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</si>
  <si>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</si>
  <si>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</si>
  <si>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</si>
  <si>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</si>
  <si>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</si>
  <si>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</si>
  <si>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</si>
  <si>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</si>
  <si>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</si>
  <si>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</si>
  <si>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</si>
  <si>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</si>
  <si>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</si>
  <si>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</si>
  <si>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</si>
  <si>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</si>
  <si>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</si>
  <si>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</si>
  <si>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</si>
  <si>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</si>
  <si>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</si>
  <si>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</si>
  <si>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</si>
  <si>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</si>
  <si>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</si>
  <si>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</si>
  <si>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</si>
  <si>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</si>
  <si>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</si>
  <si>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</si>
  <si>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</si>
  <si>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</si>
  <si>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</si>
  <si>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</si>
  <si>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</si>
  <si>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</si>
  <si>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</si>
  <si>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</si>
  <si>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</si>
  <si>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</si>
  <si>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</si>
  <si>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</si>
  <si>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</si>
  <si>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</si>
  <si>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</si>
  <si>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</si>
  <si>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</si>
  <si>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</si>
  <si>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</si>
  <si>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</si>
  <si>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</si>
  <si>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</si>
  <si>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</si>
  <si>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</si>
  <si>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</si>
  <si>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</si>
  <si>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</si>
  <si>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</si>
  <si>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</si>
  <si>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</si>
  <si>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</si>
  <si>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</si>
  <si>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</si>
  <si>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</si>
  <si>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</si>
  <si>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</si>
  <si>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</si>
  <si>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</si>
  <si>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</si>
  <si>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</si>
  <si>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</si>
  <si>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</si>
  <si>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</si>
  <si>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</si>
  <si>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</si>
  <si>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</si>
  <si>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</si>
  <si>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</si>
  <si>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</si>
  <si>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</si>
  <si>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</si>
  <si>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</si>
  <si>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</si>
  <si>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</si>
  <si>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</si>
  <si>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</si>
  <si>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</si>
  <si>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</si>
  <si>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</si>
  <si>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</si>
  <si>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</si>
  <si>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</si>
  <si>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</si>
  <si>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</si>
  <si>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</si>
  <si>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</si>
  <si>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</si>
  <si>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</si>
  <si>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</si>
  <si>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</si>
  <si>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</si>
  <si>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</si>
  <si>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</si>
  <si>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</si>
  <si>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</si>
  <si>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</si>
  <si>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</si>
  <si>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</si>
  <si>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</si>
  <si>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</si>
  <si>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</si>
  <si>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</si>
  <si>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</si>
  <si>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</si>
  <si>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</si>
  <si>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</si>
  <si>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</si>
  <si>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</si>
  <si>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</si>
  <si>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</si>
  <si>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</si>
  <si>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</si>
  <si>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</si>
  <si>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</si>
  <si>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</si>
  <si>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</si>
  <si>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</si>
  <si>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</si>
  <si>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</si>
  <si>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</si>
  <si>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</si>
  <si>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</si>
  <si>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</si>
  <si>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</si>
  <si>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</si>
  <si>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</si>
  <si>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</si>
  <si>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</si>
  <si>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</si>
  <si>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</si>
  <si>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</si>
  <si>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</si>
  <si>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</si>
  <si>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</si>
  <si>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</si>
  <si>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</si>
  <si>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</si>
  <si>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</si>
  <si>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</si>
  <si>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</si>
  <si>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</si>
  <si>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</si>
  <si>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</si>
  <si>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</si>
  <si>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</si>
  <si>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</si>
  <si>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</si>
  <si>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</si>
  <si>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</si>
  <si>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</si>
  <si>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</si>
  <si>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</si>
  <si>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</si>
  <si>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</si>
  <si>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</si>
  <si>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</si>
  <si>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</si>
  <si>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</si>
  <si>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</si>
  <si>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</si>
  <si>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</si>
  <si>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</si>
  <si>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</si>
  <si>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</si>
  <si>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</si>
  <si>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</si>
  <si>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</si>
  <si>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</si>
  <si>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</si>
  <si>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</si>
  <si>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</si>
  <si>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</si>
  <si>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</si>
  <si>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</si>
  <si>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</si>
  <si>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</si>
  <si>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</si>
  <si>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</si>
  <si>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</si>
  <si>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</si>
  <si>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</si>
  <si>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</si>
  <si>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</si>
  <si>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</si>
  <si>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</si>
  <si>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</si>
  <si>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</si>
  <si>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</si>
  <si>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</si>
  <si>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</si>
  <si>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</si>
  <si>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</si>
  <si>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</si>
  <si>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</si>
  <si>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</si>
  <si>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</si>
  <si>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</si>
  <si>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</si>
  <si>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</si>
  <si>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</si>
  <si>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</si>
  <si>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</si>
  <si>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</si>
  <si>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</si>
  <si>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</si>
  <si>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</si>
  <si>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</si>
  <si>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</si>
  <si>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</si>
  <si>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</si>
  <si>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</si>
  <si>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</si>
  <si>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</si>
  <si>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</si>
  <si>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</si>
  <si>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</si>
  <si>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</si>
  <si>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</si>
  <si>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</si>
  <si>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</si>
  <si>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</si>
  <si>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</si>
  <si>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</si>
  <si>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</si>
  <si>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</si>
  <si>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</si>
  <si>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</si>
  <si>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</si>
  <si>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</si>
  <si>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</si>
  <si>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</si>
  <si>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</si>
  <si>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</si>
  <si>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</si>
  <si>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</si>
  <si>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</si>
  <si>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</si>
  <si>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</si>
  <si>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</si>
  <si>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</si>
  <si>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</si>
  <si>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</si>
  <si>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</si>
  <si>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</si>
  <si>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</si>
  <si>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</si>
  <si>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</si>
  <si>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</si>
  <si>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</si>
  <si>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</si>
  <si>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</si>
  <si>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</si>
  <si>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</si>
  <si>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</si>
  <si>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</si>
  <si>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</si>
  <si>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</si>
  <si>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</si>
  <si>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</si>
  <si>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</si>
  <si>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</si>
  <si>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</si>
  <si>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</si>
  <si>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</si>
  <si>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</si>
  <si>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</si>
  <si>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</si>
  <si>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</si>
  <si>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</si>
  <si>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</si>
  <si>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</si>
  <si>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</si>
  <si>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89801268320</t>
  </si>
  <si>
    <t>02678535</t>
  </si>
  <si>
    <t>SPLITSKA OBALA D.O.O.</t>
  </si>
  <si>
    <t>Ulica kralja Zvonimira 14</t>
  </si>
  <si>
    <t>SPLIT</t>
  </si>
  <si>
    <t>info@splitskaobala.hr</t>
  </si>
  <si>
    <t>www.splitskaobala.hr</t>
  </si>
  <si>
    <t>021/355-139</t>
  </si>
  <si>
    <t>Ivana Kapović</t>
  </si>
  <si>
    <t>ivana.kapovic@splitskaobala.hr</t>
  </si>
  <si>
    <t>Marijan Ciprijan</t>
  </si>
  <si>
    <t>HSFI</t>
  </si>
  <si>
    <t>060264886</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</si>
</sst>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41A]d\.\ mmmm\ yyyy\."/>
    <numFmt numFmtId="202"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75"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75"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75"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75"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75"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90" fontId="10" fillId="0" borderId="15" xfId="0" applyNumberFormat="1" applyFont="1" applyFill="1" applyBorder="1" applyAlignment="1">
      <alignment horizontal="center" vertical="center"/>
    </xf>
    <xf numFmtId="190"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851188.0399999999</v>
      </c>
      <c r="I3" s="27">
        <f>ABS(ROUND(J3,0)-J3)+ABS(ROUND(K3,0)-K3)</f>
        <v>0</v>
      </c>
      <c r="J3" s="27">
        <f>Bilanca!I10</f>
        <v>14826836</v>
      </c>
      <c r="K3" s="27">
        <f>Bilanca!J10</f>
        <v>13866283</v>
      </c>
    </row>
    <row r="4" spans="1:11" ht="12.75">
      <c r="A4" s="4" t="s">
        <v>2697</v>
      </c>
      <c r="B4" s="25" t="s">
        <v>364</v>
      </c>
      <c r="D4" s="4" t="s">
        <v>554</v>
      </c>
      <c r="E4" s="4">
        <v>1</v>
      </c>
      <c r="F4" s="4">
        <f>Bilanca!G11</f>
        <v>3</v>
      </c>
      <c r="G4" s="4">
        <f>IF(Bilanca!H11=0,"",Bilanca!H11)</f>
      </c>
      <c r="H4" s="26">
        <f>J4/100*F4+2*K4/100*F4</f>
        <v>1184346.72</v>
      </c>
      <c r="I4" s="27">
        <f>ABS(ROUND(J4,0)-J4)+ABS(ROUND(K4,0)-K4)</f>
        <v>0</v>
      </c>
      <c r="J4" s="27">
        <f>Bilanca!I11</f>
        <v>13691834</v>
      </c>
      <c r="K4" s="27">
        <f>Bilanca!J11</f>
        <v>12893195</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02678535</v>
      </c>
      <c r="D6" s="4" t="s">
        <v>554</v>
      </c>
      <c r="E6" s="4">
        <v>1</v>
      </c>
      <c r="F6" s="4">
        <f>Bilanca!G13</f>
        <v>5</v>
      </c>
      <c r="G6" s="4">
        <f>IF(Bilanca!H13=0,"",Bilanca!H13)</f>
      </c>
      <c r="H6" s="26">
        <f aca="true" t="shared" si="0" ref="H6:H45">J6/100*F6+2*K6/100*F6</f>
        <v>1973911.2</v>
      </c>
      <c r="I6" s="27">
        <f aca="true" t="shared" si="1" ref="I6:I45">ABS(ROUND(J6,0)-J6)+ABS(ROUND(K6,0)-K6)</f>
        <v>0</v>
      </c>
      <c r="J6" s="27">
        <f>Bilanca!I13</f>
        <v>13691834</v>
      </c>
      <c r="K6" s="27">
        <f>Bilanca!J13</f>
        <v>12893195</v>
      </c>
    </row>
    <row r="7" spans="1:11" ht="12.75">
      <c r="A7" s="4" t="s">
        <v>1561</v>
      </c>
      <c r="B7" s="25" t="str">
        <f>RefStr!M27</f>
        <v>060264886</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89801268320</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SPLITSKA OBALA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21000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SPLIT</v>
      </c>
      <c r="D11" s="4" t="s">
        <v>554</v>
      </c>
      <c r="E11" s="4">
        <v>1</v>
      </c>
      <c r="F11" s="4">
        <f>Bilanca!G18</f>
        <v>10</v>
      </c>
      <c r="G11" s="4">
        <f>IF(Bilanca!H18=0,"",Bilanca!H18)</f>
      </c>
      <c r="H11" s="26">
        <f t="shared" si="0"/>
        <v>308117.8</v>
      </c>
      <c r="I11" s="27">
        <f t="shared" si="1"/>
        <v>0</v>
      </c>
      <c r="J11" s="27">
        <f>Bilanca!I18</f>
        <v>1135002</v>
      </c>
      <c r="K11" s="27">
        <f>Bilanca!J18</f>
        <v>973088</v>
      </c>
    </row>
    <row r="12" spans="1:11" ht="12.75">
      <c r="A12" s="4" t="s">
        <v>2738</v>
      </c>
      <c r="B12" s="25" t="str">
        <f>TRIM(RefStr!C33)</f>
        <v>Ulica kralja Zvonimira 14</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info@splitskaobala.hr</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t="str">
        <f>TRIM(RefStr!C37)</f>
        <v>www.splitskaobala.hr</v>
      </c>
      <c r="D14" s="4" t="s">
        <v>554</v>
      </c>
      <c r="E14" s="4">
        <v>1</v>
      </c>
      <c r="F14" s="4">
        <f>Bilanca!G21</f>
        <v>13</v>
      </c>
      <c r="G14" s="4">
        <f>IF(Bilanca!H21=0,"",Bilanca!H21)</f>
      </c>
      <c r="H14" s="26">
        <f t="shared" si="0"/>
        <v>381394</v>
      </c>
      <c r="I14" s="27">
        <f t="shared" si="1"/>
        <v>0</v>
      </c>
      <c r="J14" s="27">
        <f>Bilanca!I21</f>
        <v>997944</v>
      </c>
      <c r="K14" s="27">
        <f>Bilanca!J21</f>
        <v>967928</v>
      </c>
    </row>
    <row r="15" spans="1:11" ht="12.75">
      <c r="A15" s="4" t="s">
        <v>2741</v>
      </c>
      <c r="B15" s="25" t="str">
        <f>TEXT(RefStr!J39,"00")</f>
        <v>17</v>
      </c>
      <c r="D15" s="4" t="s">
        <v>554</v>
      </c>
      <c r="E15" s="4">
        <v>1</v>
      </c>
      <c r="F15" s="4">
        <f>Bilanca!G22</f>
        <v>14</v>
      </c>
      <c r="G15" s="4">
        <f>IF(Bilanca!H22=0,"",Bilanca!H22)</f>
      </c>
      <c r="H15" s="26">
        <f t="shared" si="0"/>
        <v>19188.12</v>
      </c>
      <c r="I15" s="27">
        <f t="shared" si="1"/>
        <v>0</v>
      </c>
      <c r="J15" s="27">
        <f>Bilanca!I22</f>
        <v>137058</v>
      </c>
      <c r="K15" s="27">
        <f>Bilanca!J22</f>
        <v>0</v>
      </c>
    </row>
    <row r="16" spans="1:11" ht="12.75">
      <c r="A16" s="4" t="s">
        <v>2740</v>
      </c>
      <c r="B16" s="25" t="str">
        <f>TEXT(RefStr!C39,"000")</f>
        <v>409</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6820</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1754.4</v>
      </c>
      <c r="I18" s="27">
        <f t="shared" si="1"/>
        <v>0</v>
      </c>
      <c r="J18" s="27">
        <f>Bilanca!I25</f>
        <v>0</v>
      </c>
      <c r="K18" s="27">
        <f>Bilanca!J25</f>
        <v>5160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1</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32</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32</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31</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30</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15660994.44</v>
      </c>
      <c r="I38" s="27">
        <f t="shared" si="1"/>
        <v>0</v>
      </c>
      <c r="J38" s="27">
        <f>Bilanca!I45</f>
        <v>13677788</v>
      </c>
      <c r="K38" s="27">
        <f>Bilanca!J45</f>
        <v>14324612</v>
      </c>
    </row>
    <row r="39" spans="1:11" ht="12.75">
      <c r="A39" s="4" t="s">
        <v>1611</v>
      </c>
      <c r="B39" s="25" t="str">
        <f>RefStr!C68</f>
        <v>Ivana Kapović</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021/355-139</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ivana.kapovic@splitskaobala.hr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Marijan Ciprijan</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962165.44</v>
      </c>
      <c r="I47" s="27">
        <f t="shared" si="3"/>
        <v>0</v>
      </c>
      <c r="J47" s="27">
        <f>Bilanca!I54</f>
        <v>602204</v>
      </c>
      <c r="K47" s="27">
        <f>Bilanca!J54</f>
        <v>744730</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914574.22</v>
      </c>
      <c r="I50" s="27">
        <f t="shared" si="3"/>
        <v>0</v>
      </c>
      <c r="J50" s="27">
        <f>Bilanca!I57</f>
        <v>445832</v>
      </c>
      <c r="K50" s="27">
        <f>Bilanca!J57</f>
        <v>710323</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85774.35</v>
      </c>
      <c r="I52" s="27">
        <f t="shared" si="3"/>
        <v>0</v>
      </c>
      <c r="J52" s="27">
        <f>Bilanca!I59</f>
        <v>155261</v>
      </c>
      <c r="K52" s="27">
        <f>Bilanca!J59</f>
        <v>6462</v>
      </c>
    </row>
    <row r="53" spans="1:11" ht="12.75">
      <c r="A53" s="4" t="s">
        <v>1301</v>
      </c>
      <c r="B53" s="25" t="str">
        <f>RefStr!I56</f>
        <v>NE</v>
      </c>
      <c r="D53" s="4" t="s">
        <v>554</v>
      </c>
      <c r="E53" s="4">
        <v>1</v>
      </c>
      <c r="F53" s="4">
        <f>Bilanca!G60</f>
        <v>52</v>
      </c>
      <c r="G53" s="4">
        <f>IF(Bilanca!H60=0,"",Bilanca!H60)</f>
      </c>
      <c r="H53" s="26">
        <f t="shared" si="2"/>
        <v>29640.52</v>
      </c>
      <c r="I53" s="27">
        <f t="shared" si="3"/>
        <v>0</v>
      </c>
      <c r="J53" s="27">
        <f>Bilanca!I60</f>
        <v>1111</v>
      </c>
      <c r="K53" s="27">
        <f>Bilanca!J60</f>
        <v>27945</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NE</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NE</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1779093349.44</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25348269.240000002</v>
      </c>
      <c r="I64" s="27">
        <f t="shared" si="3"/>
        <v>0</v>
      </c>
      <c r="J64" s="27">
        <f>Bilanca!I71</f>
        <v>13075584</v>
      </c>
      <c r="K64" s="27">
        <f>Bilanca!J71</f>
        <v>13579882</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55176169.099999994</v>
      </c>
      <c r="I66" s="27">
        <f t="shared" si="3"/>
        <v>0</v>
      </c>
      <c r="J66" s="27">
        <f>Bilanca!I73</f>
        <v>28504624</v>
      </c>
      <c r="K66" s="27">
        <f>Bilanca!J73</f>
        <v>28190895</v>
      </c>
    </row>
    <row r="67" spans="1:11" ht="12.75">
      <c r="A67" s="4" t="s">
        <v>925</v>
      </c>
      <c r="B67" s="25" t="str">
        <f>TRIM(RefStr!L35)</f>
        <v>021/355-139</v>
      </c>
      <c r="D67" s="4" t="s">
        <v>554</v>
      </c>
      <c r="E67" s="4">
        <v>1</v>
      </c>
      <c r="F67" s="4">
        <f>Bilanca!G74</f>
        <v>66</v>
      </c>
      <c r="G67" s="4">
        <f>IF(Bilanca!H74=0,"",Bilanca!H74)</f>
      </c>
      <c r="H67" s="26">
        <f t="shared" si="2"/>
        <v>17530906.8</v>
      </c>
      <c r="I67" s="27">
        <f t="shared" si="3"/>
        <v>0</v>
      </c>
      <c r="J67" s="27">
        <f>Bilanca!I74</f>
        <v>0</v>
      </c>
      <c r="K67" s="27">
        <f>Bilanca!J74</f>
        <v>13280990</v>
      </c>
    </row>
    <row r="68" spans="1:11" ht="12.75">
      <c r="A68" s="4" t="s">
        <v>926</v>
      </c>
      <c r="B68" s="25">
        <f>RefStr!C44</f>
        <v>1</v>
      </c>
      <c r="D68" s="4" t="s">
        <v>554</v>
      </c>
      <c r="E68" s="4">
        <v>1</v>
      </c>
      <c r="F68" s="4">
        <f>Bilanca!G76</f>
        <v>67</v>
      </c>
      <c r="G68" s="4">
        <f>IF(Bilanca!H76=0,"",Bilanca!H76)</f>
      </c>
      <c r="H68" s="26">
        <f t="shared" si="2"/>
        <v>15441470.57</v>
      </c>
      <c r="I68" s="27">
        <f t="shared" si="3"/>
        <v>0</v>
      </c>
      <c r="J68" s="27">
        <f>Bilanca!I76</f>
        <v>6992363</v>
      </c>
      <c r="K68" s="27">
        <f>Bilanca!J76</f>
        <v>8027304</v>
      </c>
    </row>
    <row r="69" spans="1:11" ht="12.75">
      <c r="A69" s="4" t="s">
        <v>927</v>
      </c>
      <c r="B69" s="25">
        <f>TRIM(RefStr!M46)</f>
      </c>
      <c r="D69" s="4" t="s">
        <v>554</v>
      </c>
      <c r="E69" s="4">
        <v>1</v>
      </c>
      <c r="F69" s="4">
        <f>Bilanca!G77</f>
        <v>68</v>
      </c>
      <c r="G69" s="4">
        <f>IF(Bilanca!H77=0,"",Bilanca!H77)</f>
      </c>
      <c r="H69" s="26">
        <f t="shared" si="2"/>
        <v>19216800</v>
      </c>
      <c r="I69" s="27">
        <f t="shared" si="3"/>
        <v>0</v>
      </c>
      <c r="J69" s="27">
        <f>Bilanca!I77</f>
        <v>9420000</v>
      </c>
      <c r="K69" s="27">
        <f>Bilanca!J77</f>
        <v>9420000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-7165273.8</v>
      </c>
      <c r="I84" s="27">
        <f t="shared" si="3"/>
        <v>0</v>
      </c>
      <c r="J84" s="27">
        <f>Bilanca!I92</f>
        <v>-3777586</v>
      </c>
      <c r="K84" s="27">
        <f>Bilanca!J92</f>
        <v>-2427637</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f>IF(Bilanca!H94=0,"",Bilanca!H94)</f>
      </c>
      <c r="H86" s="26">
        <f t="shared" si="2"/>
        <v>7337931</v>
      </c>
      <c r="I86" s="27">
        <f t="shared" si="3"/>
        <v>0</v>
      </c>
      <c r="J86" s="27">
        <f>Bilanca!I94</f>
        <v>3777586</v>
      </c>
      <c r="K86" s="27">
        <f>Bilanca!J94</f>
        <v>2427637</v>
      </c>
    </row>
    <row r="87" spans="4:11" ht="12.75">
      <c r="D87" s="4" t="s">
        <v>554</v>
      </c>
      <c r="E87" s="4">
        <v>1</v>
      </c>
      <c r="F87" s="4">
        <f>Bilanca!G95</f>
        <v>86</v>
      </c>
      <c r="G87" s="4">
        <f>IF(Bilanca!H95=0,"",Bilanca!H95)</f>
      </c>
      <c r="H87" s="26">
        <f>J87/100*F87+2*K87/100*F87</f>
        <v>2941054.66</v>
      </c>
      <c r="I87" s="27">
        <f>ABS(ROUND(J87,0)-J87)+ABS(ROUND(K87,0)-K87)</f>
        <v>0</v>
      </c>
      <c r="J87" s="27">
        <f>Bilanca!I95</f>
        <v>1349949</v>
      </c>
      <c r="K87" s="27">
        <f>Bilanca!J95</f>
        <v>1034941</v>
      </c>
    </row>
    <row r="88" spans="4:11" ht="12.75">
      <c r="D88" s="4" t="s">
        <v>554</v>
      </c>
      <c r="E88" s="4">
        <v>1</v>
      </c>
      <c r="F88" s="4">
        <f>Bilanca!G96</f>
        <v>87</v>
      </c>
      <c r="G88" s="4">
        <f>IF(Bilanca!H96=0,"",Bilanca!H96)</f>
      </c>
      <c r="H88" s="26">
        <f>J88/100*F88+2*K88/100*F88</f>
        <v>2975252.9699999997</v>
      </c>
      <c r="I88" s="27">
        <f>ABS(ROUND(J88,0)-J88)+ABS(ROUND(K88,0)-K88)</f>
        <v>0</v>
      </c>
      <c r="J88" s="27">
        <f>Bilanca!I96</f>
        <v>1349949</v>
      </c>
      <c r="K88" s="27">
        <f>Bilanca!J96</f>
        <v>1034941</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8085202.2</v>
      </c>
      <c r="I98" s="27">
        <f t="shared" si="5"/>
        <v>0</v>
      </c>
      <c r="J98" s="27">
        <f>Bilanca!I106</f>
        <v>7035260</v>
      </c>
      <c r="K98" s="27">
        <f>Bilanca!J106</f>
        <v>650000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2298967.8</v>
      </c>
      <c r="I103" s="27">
        <f t="shared" si="5"/>
        <v>0</v>
      </c>
      <c r="J103" s="27">
        <f>Bilanca!I111</f>
        <v>953890</v>
      </c>
      <c r="K103" s="27">
        <f>Bilanca!J111</f>
        <v>650000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6507065.899999999</v>
      </c>
      <c r="I108" s="27">
        <f t="shared" si="5"/>
        <v>0</v>
      </c>
      <c r="J108" s="27">
        <f>Bilanca!I116</f>
        <v>6081370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15837173.530000001</v>
      </c>
      <c r="I110" s="27">
        <f t="shared" si="5"/>
        <v>0</v>
      </c>
      <c r="J110" s="27">
        <f>Bilanca!I118</f>
        <v>942469</v>
      </c>
      <c r="K110" s="27">
        <f>Bilanca!J118</f>
        <v>6793524</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560227.9199999999</v>
      </c>
      <c r="I115" s="27">
        <f t="shared" si="5"/>
        <v>0</v>
      </c>
      <c r="J115" s="27">
        <f>Bilanca!I123</f>
        <v>0</v>
      </c>
      <c r="K115" s="27">
        <f>Bilanca!J123</f>
        <v>245714</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499529.16000000003</v>
      </c>
      <c r="I118" s="27">
        <f t="shared" si="5"/>
        <v>0</v>
      </c>
      <c r="J118" s="27">
        <f>Bilanca!I126</f>
        <v>290702</v>
      </c>
      <c r="K118" s="27">
        <f>Bilanca!J126</f>
        <v>68123</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890133.0900000001</v>
      </c>
      <c r="I120" s="27">
        <f t="shared" si="5"/>
        <v>0</v>
      </c>
      <c r="J120" s="27">
        <f>Bilanca!I128</f>
        <v>358023</v>
      </c>
      <c r="K120" s="27">
        <f>Bilanca!J128</f>
        <v>194994</v>
      </c>
    </row>
    <row r="121" spans="4:11" ht="12.75">
      <c r="D121" s="4" t="s">
        <v>554</v>
      </c>
      <c r="E121" s="4">
        <v>1</v>
      </c>
      <c r="F121" s="4">
        <f>Bilanca!G129</f>
        <v>120</v>
      </c>
      <c r="G121" s="4">
        <f>IF(Bilanca!H129=0,"",Bilanca!H129)</f>
      </c>
      <c r="H121" s="26">
        <f t="shared" si="4"/>
        <v>15435756</v>
      </c>
      <c r="I121" s="27">
        <f t="shared" si="5"/>
        <v>0</v>
      </c>
      <c r="J121" s="27">
        <f>Bilanca!I129</f>
        <v>293744</v>
      </c>
      <c r="K121" s="27">
        <f>Bilanca!J129</f>
        <v>6284693</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0</v>
      </c>
      <c r="I124" s="27">
        <f t="shared" si="5"/>
        <v>0</v>
      </c>
      <c r="J124" s="27">
        <f>Bilanca!I132</f>
        <v>0</v>
      </c>
      <c r="K124" s="27">
        <f>Bilanca!J132</f>
        <v>0</v>
      </c>
    </row>
    <row r="125" spans="4:11" ht="12.75">
      <c r="D125" s="4" t="s">
        <v>554</v>
      </c>
      <c r="E125" s="4">
        <v>1</v>
      </c>
      <c r="F125" s="4">
        <f>Bilanca!G133</f>
        <v>124</v>
      </c>
      <c r="G125" s="4">
        <f>IF(Bilanca!H133=0,"",Bilanca!H133)</f>
      </c>
      <c r="H125" s="26">
        <f t="shared" si="4"/>
        <v>48328585.84</v>
      </c>
      <c r="I125" s="27">
        <f t="shared" si="5"/>
        <v>0</v>
      </c>
      <c r="J125" s="27">
        <f>Bilanca!I133</f>
        <v>13534532</v>
      </c>
      <c r="K125" s="27">
        <f>Bilanca!J133</f>
        <v>12720067</v>
      </c>
    </row>
    <row r="126" spans="4:11" ht="12.75">
      <c r="D126" s="4" t="s">
        <v>554</v>
      </c>
      <c r="E126" s="4">
        <v>1</v>
      </c>
      <c r="F126" s="4">
        <f>Bilanca!G134</f>
        <v>125</v>
      </c>
      <c r="G126" s="4">
        <f>IF(Bilanca!H134=0,"",Bilanca!H134)</f>
      </c>
      <c r="H126" s="26">
        <f t="shared" si="4"/>
        <v>106108017.5</v>
      </c>
      <c r="I126" s="27">
        <f t="shared" si="5"/>
        <v>0</v>
      </c>
      <c r="J126" s="27">
        <f>Bilanca!I134</f>
        <v>28504624</v>
      </c>
      <c r="K126" s="27">
        <f>Bilanca!J134</f>
        <v>28190895</v>
      </c>
    </row>
    <row r="127" spans="4:11" ht="12.75">
      <c r="D127" s="4" t="s">
        <v>554</v>
      </c>
      <c r="E127" s="4">
        <v>1</v>
      </c>
      <c r="F127" s="4">
        <f>Bilanca!G135</f>
        <v>126</v>
      </c>
      <c r="G127" s="4">
        <f>IF(Bilanca!H135=0,"",Bilanca!H135)</f>
      </c>
      <c r="H127" s="26">
        <f t="shared" si="4"/>
        <v>33468094.799999997</v>
      </c>
      <c r="I127" s="27">
        <f t="shared" si="5"/>
        <v>0</v>
      </c>
      <c r="J127" s="27">
        <f>Bilanca!I135</f>
        <v>0</v>
      </c>
      <c r="K127" s="27">
        <f>Bilanca!J135</f>
        <v>13280990</v>
      </c>
    </row>
    <row r="128" spans="4:11" ht="12.75">
      <c r="D128" s="4" t="s">
        <v>794</v>
      </c>
      <c r="E128" s="4">
        <v>2</v>
      </c>
      <c r="F128" s="4">
        <f>RDG!G8</f>
        <v>127</v>
      </c>
      <c r="G128" s="4">
        <f>IF(RDG!H8=0,"",RDG!H8)</f>
      </c>
      <c r="H128" s="26">
        <f t="shared" si="4"/>
        <v>41551317.71</v>
      </c>
      <c r="I128" s="4">
        <f t="shared" si="5"/>
        <v>0</v>
      </c>
      <c r="J128" s="27">
        <f>RDG!I8</f>
        <v>12503579</v>
      </c>
      <c r="K128" s="27">
        <f>RDG!J8</f>
        <v>10106997</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38929994.1</v>
      </c>
      <c r="I130" s="4">
        <f aca="true" t="shared" si="7" ref="I130:I192">ABS(ROUND(J130,0)-J130)+ABS(ROUND(K130,0)-K130)</f>
        <v>0</v>
      </c>
      <c r="J130" s="27">
        <f>RDG!I10</f>
        <v>11670964</v>
      </c>
      <c r="K130" s="27">
        <f>RDG!J10</f>
        <v>9253663</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3351853.5600000005</v>
      </c>
      <c r="I133" s="4">
        <f t="shared" si="7"/>
        <v>0</v>
      </c>
      <c r="J133" s="27">
        <f>RDG!I13</f>
        <v>832615</v>
      </c>
      <c r="K133" s="27">
        <f>RDG!J13</f>
        <v>853334</v>
      </c>
    </row>
    <row r="134" spans="4:11" ht="12.75">
      <c r="D134" s="4" t="s">
        <v>794</v>
      </c>
      <c r="E134" s="4">
        <v>2</v>
      </c>
      <c r="F134" s="4">
        <f>RDG!G14</f>
        <v>133</v>
      </c>
      <c r="G134" s="4">
        <f>IF(RDG!H14=0,"",RDG!H14)</f>
      </c>
      <c r="H134" s="26">
        <f t="shared" si="6"/>
        <v>38968622.28</v>
      </c>
      <c r="I134" s="4">
        <f t="shared" si="7"/>
        <v>0</v>
      </c>
      <c r="J134" s="27">
        <f>RDG!I14</f>
        <v>11156010</v>
      </c>
      <c r="K134" s="27">
        <f>RDG!J14</f>
        <v>9071853</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9245171.25</v>
      </c>
      <c r="I136" s="4">
        <f t="shared" si="7"/>
        <v>0</v>
      </c>
      <c r="J136" s="27">
        <f>RDG!I16</f>
        <v>2480837</v>
      </c>
      <c r="K136" s="27">
        <f>RDG!J16</f>
        <v>2183719</v>
      </c>
    </row>
    <row r="137" spans="4:11" ht="12.75">
      <c r="D137" s="4" t="s">
        <v>794</v>
      </c>
      <c r="E137" s="4">
        <v>2</v>
      </c>
      <c r="F137" s="4">
        <f>RDG!G17</f>
        <v>136</v>
      </c>
      <c r="G137" s="4">
        <f>IF(RDG!H17=0,"",RDG!H17)</f>
      </c>
      <c r="H137" s="26">
        <f t="shared" si="6"/>
        <v>4270548.24</v>
      </c>
      <c r="I137" s="4">
        <f t="shared" si="7"/>
        <v>0</v>
      </c>
      <c r="J137" s="27">
        <f>RDG!I17</f>
        <v>1184937</v>
      </c>
      <c r="K137" s="27">
        <f>RDG!J17</f>
        <v>977586</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5117269.08</v>
      </c>
      <c r="I139" s="4">
        <f t="shared" si="7"/>
        <v>0</v>
      </c>
      <c r="J139" s="27">
        <f>RDG!I19</f>
        <v>1295900</v>
      </c>
      <c r="K139" s="27">
        <f>RDG!J19</f>
        <v>1206133</v>
      </c>
    </row>
    <row r="140" spans="4:11" ht="12.75">
      <c r="D140" s="4" t="s">
        <v>794</v>
      </c>
      <c r="E140" s="4">
        <v>2</v>
      </c>
      <c r="F140" s="4">
        <f>RDG!G20</f>
        <v>139</v>
      </c>
      <c r="G140" s="4">
        <f>IF(RDG!H20=0,"",RDG!H20)</f>
      </c>
      <c r="H140" s="26">
        <f t="shared" si="6"/>
        <v>17835177.57</v>
      </c>
      <c r="I140" s="4">
        <f t="shared" si="7"/>
        <v>0</v>
      </c>
      <c r="J140" s="27">
        <f>RDG!I20</f>
        <v>4907233</v>
      </c>
      <c r="K140" s="27">
        <f>RDG!J20</f>
        <v>3961915</v>
      </c>
    </row>
    <row r="141" spans="4:11" ht="12.75">
      <c r="D141" s="4" t="s">
        <v>794</v>
      </c>
      <c r="E141" s="4">
        <v>2</v>
      </c>
      <c r="F141" s="4">
        <f>RDG!G21</f>
        <v>140</v>
      </c>
      <c r="G141" s="4">
        <f>IF(RDG!H21=0,"",RDG!H21)</f>
      </c>
      <c r="H141" s="26">
        <f t="shared" si="6"/>
        <v>11217725.4</v>
      </c>
      <c r="I141" s="4">
        <f t="shared" si="7"/>
        <v>0</v>
      </c>
      <c r="J141" s="27">
        <f>RDG!I21</f>
        <v>3024081</v>
      </c>
      <c r="K141" s="27">
        <f>RDG!J21</f>
        <v>2494290</v>
      </c>
    </row>
    <row r="142" spans="4:11" ht="12.75">
      <c r="D142" s="4" t="s">
        <v>794</v>
      </c>
      <c r="E142" s="4">
        <v>2</v>
      </c>
      <c r="F142" s="4">
        <f>RDG!G22</f>
        <v>141</v>
      </c>
      <c r="G142" s="4">
        <f>IF(RDG!H22=0,"",RDG!H22)</f>
      </c>
      <c r="H142" s="26">
        <f t="shared" si="6"/>
        <v>4233196.47</v>
      </c>
      <c r="I142" s="4">
        <f t="shared" si="7"/>
        <v>0</v>
      </c>
      <c r="J142" s="27">
        <f>RDG!I22</f>
        <v>1189275</v>
      </c>
      <c r="K142" s="27">
        <f>RDG!J22</f>
        <v>906496</v>
      </c>
    </row>
    <row r="143" spans="4:11" ht="12.75">
      <c r="D143" s="4" t="s">
        <v>794</v>
      </c>
      <c r="E143" s="4">
        <v>2</v>
      </c>
      <c r="F143" s="4">
        <f>RDG!G23</f>
        <v>142</v>
      </c>
      <c r="G143" s="4">
        <f>IF(RDG!H23=0,"",RDG!H23)</f>
      </c>
      <c r="H143" s="26">
        <f t="shared" si="6"/>
        <v>2578911.7</v>
      </c>
      <c r="I143" s="4">
        <f t="shared" si="7"/>
        <v>0</v>
      </c>
      <c r="J143" s="27">
        <f>RDG!I23</f>
        <v>693877</v>
      </c>
      <c r="K143" s="27">
        <f>RDG!J23</f>
        <v>561129</v>
      </c>
    </row>
    <row r="144" spans="4:11" ht="12.75">
      <c r="D144" s="4" t="s">
        <v>794</v>
      </c>
      <c r="E144" s="4">
        <v>2</v>
      </c>
      <c r="F144" s="4">
        <f>RDG!G24</f>
        <v>143</v>
      </c>
      <c r="G144" s="4">
        <f>IF(RDG!H24=0,"",RDG!H24)</f>
      </c>
      <c r="H144" s="26">
        <f t="shared" si="6"/>
        <v>4582745.3100000005</v>
      </c>
      <c r="I144" s="4">
        <f t="shared" si="7"/>
        <v>0</v>
      </c>
      <c r="J144" s="27">
        <f>RDG!I24</f>
        <v>1074369</v>
      </c>
      <c r="K144" s="27">
        <f>RDG!J24</f>
        <v>1065174</v>
      </c>
    </row>
    <row r="145" spans="4:11" ht="12.75">
      <c r="D145" s="4" t="s">
        <v>794</v>
      </c>
      <c r="E145" s="4">
        <v>2</v>
      </c>
      <c r="F145" s="4">
        <f>RDG!G25</f>
        <v>144</v>
      </c>
      <c r="G145" s="4">
        <f>IF(RDG!H25=0,"",RDG!H25)</f>
      </c>
      <c r="H145" s="26">
        <f t="shared" si="6"/>
        <v>9089202.24</v>
      </c>
      <c r="I145" s="4">
        <f t="shared" si="7"/>
        <v>0</v>
      </c>
      <c r="J145" s="27">
        <f>RDG!I25</f>
        <v>2619180</v>
      </c>
      <c r="K145" s="27">
        <f>RDG!J25</f>
        <v>1846383</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160758.25</v>
      </c>
      <c r="I156" s="4">
        <f t="shared" si="7"/>
        <v>0</v>
      </c>
      <c r="J156" s="27">
        <f>RDG!I36</f>
        <v>74391</v>
      </c>
      <c r="K156" s="27">
        <f>RDG!J36</f>
        <v>14662</v>
      </c>
    </row>
    <row r="157" spans="4:11" ht="12.75">
      <c r="D157" s="4" t="s">
        <v>794</v>
      </c>
      <c r="E157" s="4">
        <v>2</v>
      </c>
      <c r="F157" s="4">
        <f>RDG!G37</f>
        <v>156</v>
      </c>
      <c r="G157" s="4">
        <f>IF(RDG!H37=0,"",RDG!H37)</f>
      </c>
      <c r="H157" s="26">
        <f t="shared" si="6"/>
        <v>4124.64</v>
      </c>
      <c r="I157" s="4">
        <f t="shared" si="7"/>
        <v>0</v>
      </c>
      <c r="J157" s="27">
        <f>RDG!I37</f>
        <v>2512</v>
      </c>
      <c r="K157" s="27">
        <f>RDG!J37</f>
        <v>66</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4309.72</v>
      </c>
      <c r="I164" s="4">
        <f t="shared" si="7"/>
        <v>0</v>
      </c>
      <c r="J164" s="27">
        <f>RDG!I44</f>
        <v>2512</v>
      </c>
      <c r="K164" s="27">
        <f>RDG!J44</f>
        <v>66</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1118.9</v>
      </c>
      <c r="I168" s="4">
        <f t="shared" si="7"/>
        <v>0</v>
      </c>
      <c r="J168" s="27">
        <f>RDG!I48</f>
        <v>132</v>
      </c>
      <c r="K168" s="27">
        <f>RDG!J48</f>
        <v>269</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459</v>
      </c>
      <c r="I171" s="4">
        <f t="shared" si="7"/>
        <v>0</v>
      </c>
      <c r="J171" s="27">
        <f>RDG!I51</f>
        <v>132</v>
      </c>
      <c r="K171" s="27">
        <f>RDG!J51</f>
        <v>69</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696</v>
      </c>
      <c r="I175" s="4">
        <f t="shared" si="7"/>
        <v>0</v>
      </c>
      <c r="J175" s="27">
        <f>RDG!I55</f>
        <v>0</v>
      </c>
      <c r="K175" s="27">
        <f>RDG!J55</f>
        <v>200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58569188.43</v>
      </c>
      <c r="I180" s="4">
        <f t="shared" si="7"/>
        <v>0</v>
      </c>
      <c r="J180" s="27">
        <f>RDG!I60</f>
        <v>12506091</v>
      </c>
      <c r="K180" s="27">
        <f>RDG!J60</f>
        <v>10107063</v>
      </c>
    </row>
    <row r="181" spans="4:11" ht="12.75">
      <c r="D181" s="4" t="s">
        <v>794</v>
      </c>
      <c r="E181" s="4">
        <v>2</v>
      </c>
      <c r="F181" s="4">
        <f>RDG!G61</f>
        <v>180</v>
      </c>
      <c r="G181" s="4">
        <f>IF(RDG!H61=0,"",RDG!H61)</f>
      </c>
      <c r="H181" s="26">
        <f t="shared" si="6"/>
        <v>52740694.8</v>
      </c>
      <c r="I181" s="4">
        <f t="shared" si="7"/>
        <v>0</v>
      </c>
      <c r="J181" s="27">
        <f>RDG!I61</f>
        <v>11156142</v>
      </c>
      <c r="K181" s="27">
        <f>RDG!J61</f>
        <v>9072122</v>
      </c>
    </row>
    <row r="182" spans="4:11" ht="12.75">
      <c r="D182" s="4" t="s">
        <v>794</v>
      </c>
      <c r="E182" s="4">
        <v>2</v>
      </c>
      <c r="F182" s="4">
        <f>RDG!G62</f>
        <v>181</v>
      </c>
      <c r="G182" s="4">
        <f>IF(RDG!H62=0,"",RDG!H62)</f>
      </c>
      <c r="H182" s="26">
        <f t="shared" si="6"/>
        <v>6189894.109999999</v>
      </c>
      <c r="I182" s="4">
        <f t="shared" si="7"/>
        <v>0</v>
      </c>
      <c r="J182" s="27">
        <f>RDG!I62</f>
        <v>1349949</v>
      </c>
      <c r="K182" s="27">
        <f>RDG!J62</f>
        <v>1034941</v>
      </c>
    </row>
    <row r="183" spans="4:11" ht="12.75">
      <c r="D183" s="4" t="s">
        <v>794</v>
      </c>
      <c r="E183" s="4">
        <v>2</v>
      </c>
      <c r="F183" s="4">
        <f>RDG!G63</f>
        <v>182</v>
      </c>
      <c r="G183" s="4">
        <f>IF(RDG!H63=0,"",RDG!H63)</f>
      </c>
      <c r="H183" s="26">
        <f t="shared" si="6"/>
        <v>6224092.42</v>
      </c>
      <c r="I183" s="4">
        <f t="shared" si="7"/>
        <v>0</v>
      </c>
      <c r="J183" s="27">
        <f>RDG!I63</f>
        <v>1349949</v>
      </c>
      <c r="K183" s="27">
        <f>RDG!J63</f>
        <v>1034941</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f>IF(RDG!H66=0,"",RDG!H66)</f>
      </c>
      <c r="H186" s="26">
        <f t="shared" si="6"/>
        <v>6326687.35</v>
      </c>
      <c r="I186" s="4">
        <f t="shared" si="7"/>
        <v>0</v>
      </c>
      <c r="J186" s="27">
        <f>RDG!I66</f>
        <v>1349949</v>
      </c>
      <c r="K186" s="27">
        <f>RDG!J66</f>
        <v>1034941</v>
      </c>
    </row>
    <row r="187" spans="4:11" ht="12.75">
      <c r="D187" s="4" t="s">
        <v>794</v>
      </c>
      <c r="E187" s="4">
        <v>2</v>
      </c>
      <c r="F187" s="4">
        <f>RDG!G67</f>
        <v>186</v>
      </c>
      <c r="G187" s="4">
        <f>IF(RDG!H67=0,"",RDG!H67)</f>
      </c>
      <c r="H187" s="26">
        <f t="shared" si="6"/>
        <v>6360885.66</v>
      </c>
      <c r="I187" s="4">
        <f t="shared" si="7"/>
        <v>0</v>
      </c>
      <c r="J187" s="27">
        <f>RDG!I67</f>
        <v>1349949</v>
      </c>
      <c r="K187" s="27">
        <f>RDG!J67</f>
        <v>1034941</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73031461.8</v>
      </c>
      <c r="I243" s="4">
        <f t="shared" si="13"/>
        <v>0</v>
      </c>
      <c r="J243" s="27">
        <f>Dodatni!I26</f>
        <v>11670964</v>
      </c>
      <c r="K243" s="27">
        <f>Dodatni!J26</f>
        <v>9253663</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76049290.80000001</v>
      </c>
      <c r="I253" s="4">
        <f t="shared" si="13"/>
        <v>0</v>
      </c>
      <c r="J253" s="27">
        <f>Dodatni!I37</f>
        <v>11670964</v>
      </c>
      <c r="K253" s="27">
        <f>Dodatni!J37</f>
        <v>9253663</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1945499.3399999999</v>
      </c>
      <c r="I263" s="4">
        <f t="shared" si="13"/>
        <v>0</v>
      </c>
      <c r="J263" s="27">
        <f>Dodatni!I50</f>
        <v>292521</v>
      </c>
      <c r="K263" s="27">
        <f>Dodatni!J50</f>
        <v>225018</v>
      </c>
    </row>
    <row r="264" spans="4:11" ht="12.75">
      <c r="D264" s="4" t="s">
        <v>555</v>
      </c>
      <c r="E264" s="4">
        <v>3</v>
      </c>
      <c r="F264" s="4">
        <f>Dodatni!H51</f>
        <v>263</v>
      </c>
      <c r="H264" s="26">
        <f t="shared" si="12"/>
        <v>1816577.8199999998</v>
      </c>
      <c r="I264" s="4">
        <f t="shared" si="13"/>
        <v>0</v>
      </c>
      <c r="J264" s="27">
        <f>Dodatni!I51</f>
        <v>216486</v>
      </c>
      <c r="K264" s="27">
        <f>Dodatni!J51</f>
        <v>237114</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7503.28</v>
      </c>
      <c r="I285" s="4">
        <f aca="true" t="shared" si="15" ref="I285:I294">ABS(ROUND(J285,0)-J285)+ABS(ROUND(K285,0)-K285)</f>
        <v>0</v>
      </c>
      <c r="J285" s="27">
        <f>Dodatni!I73</f>
        <v>2512</v>
      </c>
      <c r="K285" s="27">
        <f>Dodatni!J73</f>
        <v>65</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93"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SPLITSKA OBALA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21000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89801268320</v>
      </c>
      <c r="V4" s="206" t="s">
        <v>2737</v>
      </c>
      <c r="W4" s="224" t="str">
        <f>RefStr!F31</f>
        <v>SPLIT</v>
      </c>
      <c r="X4" s="226" t="s">
        <v>1783</v>
      </c>
      <c r="Y4" s="227" t="str">
        <f>RefStr!I68</f>
        <v>NE</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1</v>
      </c>
      <c r="T5" s="206" t="s">
        <v>1560</v>
      </c>
      <c r="U5" s="224" t="str">
        <f>RefStr!H27</f>
        <v>02678535</v>
      </c>
      <c r="V5" s="206" t="s">
        <v>2738</v>
      </c>
      <c r="W5" s="224" t="str">
        <f>RefStr!C33</f>
        <v>Ulica kralja Zvonimira 14</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060264886</v>
      </c>
      <c r="V6" s="206" t="s">
        <v>2968</v>
      </c>
      <c r="W6" s="224" t="str">
        <f>RefStr!L35</f>
        <v>021/355-139</v>
      </c>
      <c r="X6" s="206" t="s">
        <v>2926</v>
      </c>
      <c r="Y6" s="224" t="str">
        <f>RefStr!C68</f>
        <v>Ivana Kapović</v>
      </c>
      <c r="Z6" s="206" t="s">
        <v>2952</v>
      </c>
      <c r="AA6" s="224">
        <f>RefStr!C46</f>
        <v>0</v>
      </c>
    </row>
    <row r="7" spans="1:27" ht="13.5" customHeight="1">
      <c r="A7" s="504"/>
      <c r="B7" s="505"/>
      <c r="C7" s="505"/>
      <c r="D7" s="505"/>
      <c r="E7" s="505"/>
      <c r="F7" s="505"/>
      <c r="G7" s="505"/>
      <c r="H7" s="505"/>
      <c r="I7" s="214" t="s">
        <v>211</v>
      </c>
      <c r="J7" s="216">
        <f>SUM(M12:M122)</f>
        <v>1</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INFO@SPLITSKAOBALA.HR</v>
      </c>
      <c r="X7" s="206" t="s">
        <v>2927</v>
      </c>
      <c r="Y7" s="224" t="str">
        <f>RefStr!C70</f>
        <v>021/355-139</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6820</v>
      </c>
      <c r="X8" s="206" t="s">
        <v>2928</v>
      </c>
      <c r="Y8" s="224" t="str">
        <f>TRIM(UPPER(RefStr!C72))</f>
        <v>IVANA.KAPOVIC@SPLITSKAOBALA.HR</v>
      </c>
      <c r="Z8" s="228" t="s">
        <v>1780</v>
      </c>
      <c r="AA8" s="229" t="str">
        <f>RefStr!I56</f>
        <v>NE</v>
      </c>
    </row>
    <row r="9" spans="1:27" ht="13.5" customHeight="1">
      <c r="A9" s="497" t="s">
        <v>819</v>
      </c>
      <c r="B9" s="497"/>
      <c r="C9" s="497" t="s">
        <v>963</v>
      </c>
      <c r="D9" s="497"/>
      <c r="E9" s="497"/>
      <c r="F9" s="497"/>
      <c r="G9" s="497"/>
      <c r="H9" s="497"/>
      <c r="I9" s="497"/>
      <c r="J9" s="497"/>
      <c r="L9" s="190"/>
      <c r="M9" s="190"/>
      <c r="O9" s="222" t="s">
        <v>1464</v>
      </c>
      <c r="P9" s="204">
        <f>RefStr!C58</f>
        <v>31</v>
      </c>
      <c r="Q9" s="223">
        <f>RefStr!F58</f>
        <v>30</v>
      </c>
      <c r="R9" s="206" t="s">
        <v>914</v>
      </c>
      <c r="S9" s="224">
        <f>IF(RefStr!F4&lt;&gt;"",RefStr!F4,0)</f>
        <v>44926</v>
      </c>
      <c r="T9" s="206" t="s">
        <v>891</v>
      </c>
      <c r="U9" s="224">
        <f>RefStr!C39</f>
        <v>409</v>
      </c>
      <c r="V9" s="206" t="s">
        <v>2951</v>
      </c>
      <c r="W9" s="224" t="str">
        <f>RefStr!D42</f>
        <v>Iznajmljivanje i upravljanje vlastitim...</v>
      </c>
      <c r="X9" s="230" t="s">
        <v>1782</v>
      </c>
      <c r="Y9" s="231" t="str">
        <f>RefStr!I66</f>
        <v>NE</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32</v>
      </c>
      <c r="Q10" s="225">
        <f>RefStr!F56</f>
        <v>32</v>
      </c>
      <c r="R10" s="208" t="s">
        <v>917</v>
      </c>
      <c r="S10" s="225">
        <f>RefStr!C23</f>
        <v>1</v>
      </c>
      <c r="T10" s="208" t="s">
        <v>2973</v>
      </c>
      <c r="U10" s="225" t="str">
        <f>RefStr!D39</f>
        <v>Split</v>
      </c>
      <c r="V10" s="232"/>
      <c r="W10" s="233"/>
      <c r="X10" s="234" t="s">
        <v>2279</v>
      </c>
      <c r="Y10" s="235">
        <f>RefStr!F12</f>
        <v>2022</v>
      </c>
      <c r="Z10" s="208" t="s">
        <v>1771</v>
      </c>
      <c r="AA10" s="225" t="str">
        <f>RefStr!A75</f>
        <v>Marijan Ciprijan</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Provjera</v>
      </c>
      <c r="C98" s="491" t="s">
        <v>786</v>
      </c>
      <c r="D98" s="491"/>
      <c r="E98" s="491"/>
      <c r="F98" s="491"/>
      <c r="G98" s="491"/>
      <c r="H98" s="491"/>
      <c r="I98" s="491"/>
      <c r="J98" s="491"/>
      <c r="L98" s="190">
        <v>0</v>
      </c>
      <c r="M98" s="190">
        <f t="shared" si="16"/>
        <v>1</v>
      </c>
      <c r="N98" s="190">
        <f>IF(AND($O$8&lt;&gt;"DA",P4&gt;0,Dodatni!I62=0),1,0)</f>
        <v>1</v>
      </c>
      <c r="O98" s="190">
        <f>IF(AND($O$8&lt;&gt;"DA",Q4&gt;0,Dodatni!J62=0),1,0)</f>
        <v>1</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C:\Users\Ivana\Desktop\revizija 2022 sve poslano\POREZNA - OBRASCI POSLANI\[GFI-POD- statistika-FINA.xls]RefStr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65536"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22" activePane="bottomLeft" state="frozen"/>
      <selection pane="topLeft" activeCell="A1" sqref="A1"/>
      <selection pane="bottomLeft" activeCell="I56" sqref="I56"/>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267853.5</v>
      </c>
    </row>
    <row r="13" spans="4:17" ht="9.75" customHeight="1">
      <c r="D13" s="152"/>
      <c r="E13" s="158"/>
      <c r="H13" s="23"/>
      <c r="I13" s="159"/>
      <c r="J13" s="159"/>
      <c r="K13" s="152"/>
      <c r="L13" s="152"/>
      <c r="M13" s="152"/>
      <c r="N13" s="152"/>
      <c r="P13" s="50" t="s">
        <v>1561</v>
      </c>
      <c r="Q13" s="51">
        <f>INT(VALUE(M27))/50</f>
        <v>1205297.72</v>
      </c>
    </row>
    <row r="14" spans="1:17" ht="15">
      <c r="A14" s="289" t="s">
        <v>1312</v>
      </c>
      <c r="B14" s="289"/>
      <c r="C14" s="289"/>
      <c r="D14" s="160"/>
      <c r="E14" s="161"/>
      <c r="F14" s="287"/>
      <c r="G14" s="288"/>
      <c r="H14" s="288"/>
      <c r="I14" s="152"/>
      <c r="J14" s="310" t="s">
        <v>1978</v>
      </c>
      <c r="K14" s="311"/>
      <c r="L14" s="311"/>
      <c r="M14" s="311"/>
      <c r="N14" s="311"/>
      <c r="P14" s="50" t="s">
        <v>1316</v>
      </c>
      <c r="Q14" s="51">
        <f>INT(VALUE(C27))/100</f>
        <v>898012683.2</v>
      </c>
    </row>
    <row r="15" spans="1:17" ht="19.5" customHeight="1">
      <c r="A15" s="307">
        <f>Skriveni!B59</f>
        <v>1779093349.44</v>
      </c>
      <c r="B15" s="308"/>
      <c r="C15" s="309"/>
      <c r="D15" s="56"/>
      <c r="E15" s="56"/>
      <c r="F15" s="56"/>
      <c r="G15" s="56"/>
      <c r="H15" s="56"/>
      <c r="I15" s="56"/>
      <c r="J15" s="56"/>
      <c r="K15" s="56"/>
      <c r="L15" s="56"/>
      <c r="M15" s="56"/>
      <c r="N15" s="56"/>
      <c r="P15" s="50" t="s">
        <v>887</v>
      </c>
      <c r="Q15" s="51">
        <f>LEN(Skriveni!B9)</f>
        <v>21</v>
      </c>
    </row>
    <row r="16" spans="4:17" ht="12.75" customHeight="1">
      <c r="D16" s="56"/>
      <c r="E16" s="56"/>
      <c r="F16" s="56"/>
      <c r="G16" s="56"/>
      <c r="H16" s="56"/>
      <c r="I16" s="56"/>
      <c r="P16" s="50" t="s">
        <v>888</v>
      </c>
      <c r="Q16" s="51">
        <f>INT(VALUE(C31))/100</f>
        <v>210</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5</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1</v>
      </c>
      <c r="D19" s="292" t="str">
        <f>IF(C19="","Upišite svrhu predaje",IF(ISNA(LOOKUP(C19,A118:A120,A118:A120)),"Nepostojeća ili neprepoznatljiva svrha predaje",IF(LOOKUP(C19,A118:A120,A118:A120)&lt;&gt;C19,"Nepostojeća ili neprepoznatljiva svrha predaje",LOOKUP(C19,A118:A120,B118:B120))))</f>
        <v>Predaja samo u statističke svrhe</v>
      </c>
      <c r="E19" s="293"/>
      <c r="F19" s="293"/>
      <c r="G19" s="293"/>
      <c r="H19" s="293"/>
      <c r="I19" s="296" t="s">
        <v>198</v>
      </c>
      <c r="J19" s="291"/>
      <c r="K19" s="291"/>
      <c r="L19" s="291"/>
      <c r="M19" s="291"/>
      <c r="N19" s="32" t="s">
        <v>2993</v>
      </c>
      <c r="P19" s="50" t="s">
        <v>890</v>
      </c>
      <c r="Q19" s="51">
        <f>LEN(Skriveni!B12)</f>
        <v>25</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409</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6820</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2982</v>
      </c>
      <c r="D27" s="374"/>
      <c r="E27" s="284"/>
      <c r="F27" s="370" t="s">
        <v>2787</v>
      </c>
      <c r="G27" s="373"/>
      <c r="H27" s="282" t="s">
        <v>2983</v>
      </c>
      <c r="I27" s="372"/>
      <c r="J27" s="370" t="s">
        <v>1977</v>
      </c>
      <c r="K27" s="281"/>
      <c r="L27" s="280"/>
      <c r="M27" s="282" t="s">
        <v>2994</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2984</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21000</v>
      </c>
      <c r="D31" s="343" t="s">
        <v>929</v>
      </c>
      <c r="E31" s="344"/>
      <c r="F31" s="345" t="s">
        <v>2986</v>
      </c>
      <c r="G31" s="346"/>
      <c r="H31" s="346"/>
      <c r="I31" s="346"/>
      <c r="J31" s="346"/>
      <c r="K31" s="346"/>
      <c r="L31" s="347"/>
      <c r="N31" s="56"/>
      <c r="P31" s="50" t="s">
        <v>1283</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2985</v>
      </c>
      <c r="D33" s="348"/>
      <c r="E33" s="348"/>
      <c r="F33" s="348"/>
      <c r="G33" s="348"/>
      <c r="H33" s="348"/>
      <c r="I33" s="348"/>
      <c r="J33" s="348"/>
      <c r="K33" s="348"/>
      <c r="L33" s="349"/>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2987</v>
      </c>
      <c r="D35" s="277"/>
      <c r="E35" s="277"/>
      <c r="F35" s="277"/>
      <c r="G35" s="277"/>
      <c r="H35" s="277"/>
      <c r="I35" s="278"/>
      <c r="J35" s="275" t="s">
        <v>1750</v>
      </c>
      <c r="K35" s="296"/>
      <c r="L35" s="282" t="s">
        <v>2989</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2988</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409</v>
      </c>
      <c r="D39" s="358" t="str">
        <f>IF(C39="","Upišite šifru grada/općine",IF(ISNA(LOOKUP(C39,A177:A732,A177:A732)),"Šifra grada/općine ne postoji",IF(LOOKUP(C39,A177:A732,A177:A732)&lt;&gt;C39,"Šifra grada/općine ne postoji",LOOKUP(C39,A177:A732,B177:B732))))</f>
        <v>Split</v>
      </c>
      <c r="E39" s="359"/>
      <c r="F39" s="359"/>
      <c r="G39" s="359"/>
      <c r="H39" s="279" t="s">
        <v>2109</v>
      </c>
      <c r="I39" s="280"/>
      <c r="J39" s="54">
        <f>IF(C39&gt;0,LOOKUP(C39,A177:A732,C177:C732),"")</f>
        <v>17</v>
      </c>
      <c r="K39" s="350" t="str">
        <f>IF(J39="","Upišite šifru grada/općine",LOOKUP(J39,A153:A173,B153:B173))</f>
        <v>SPLITSKO-DALMATINSKA</v>
      </c>
      <c r="L39" s="350"/>
      <c r="M39" s="350"/>
      <c r="N39" s="350"/>
      <c r="P39" s="50" t="s">
        <v>896</v>
      </c>
      <c r="Q39" s="51">
        <f>C56+2*F56+3*C58+4*F58</f>
        <v>309</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1900</v>
      </c>
      <c r="D42" s="356" t="str">
        <f>IF(C42="","Upišite šifru razreda glavne djelatnosti",IF(ISNA(LOOKUP(C42,A736:A1351,A736:A1351)),"Šifra NKD-a ne postoji",IF(LOOKUP(C42,A736:A1351,A736:A1351)&lt;&gt;C42,"Šifra NKD-a ne postoji",LOOKUP(C42,A736:A1351,B736:B1351))))</f>
        <v>Iznajmljivanje i upravljanje vlastitim...</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16</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2</v>
      </c>
      <c r="D50" s="379" t="str">
        <f>IF(C50="","Upišite oznaku veličine",IF(ISNA(LOOKUP(C50,A124:A127,A124:A127)),"Nepostojeća oznaka veličine",IF(LOOKUP(C50,A124:A127,A124:A127)&lt;&gt;C50,"Nepostojeća oznaka veličine",LOOKUP(C50,A124:A127,B124:B127))))</f>
        <v>Mali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DA</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32</v>
      </c>
      <c r="D56" s="272" t="s">
        <v>2653</v>
      </c>
      <c r="E56" s="362"/>
      <c r="F56" s="40">
        <v>32</v>
      </c>
      <c r="G56" s="272" t="s">
        <v>2654</v>
      </c>
      <c r="H56" s="273"/>
      <c r="I56" s="218" t="s">
        <v>1237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31</v>
      </c>
      <c r="D58" s="354" t="s">
        <v>2653</v>
      </c>
      <c r="E58" s="354"/>
      <c r="F58" s="40">
        <v>30</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1237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2990</v>
      </c>
      <c r="D68" s="298"/>
      <c r="E68" s="298"/>
      <c r="F68" s="298"/>
      <c r="G68" s="299"/>
      <c r="H68" s="187"/>
      <c r="I68" s="218" t="s">
        <v>1237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2989</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2991</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2992</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J13" sqref="J1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89801268320; SPLITSKA OBALA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14826836</v>
      </c>
      <c r="J10" s="66">
        <f>J11+J18+J28+J39+J44</f>
        <v>13866283</v>
      </c>
    </row>
    <row r="11" spans="1:10" ht="13.5" customHeight="1">
      <c r="A11" s="390" t="s">
        <v>904</v>
      </c>
      <c r="B11" s="390"/>
      <c r="C11" s="390"/>
      <c r="D11" s="390"/>
      <c r="E11" s="390"/>
      <c r="F11" s="390"/>
      <c r="G11" s="15">
        <v>3</v>
      </c>
      <c r="H11" s="16"/>
      <c r="I11" s="66">
        <f>SUM(I12:I17)</f>
        <v>13691834</v>
      </c>
      <c r="J11" s="66">
        <f>SUM(J12:J17)</f>
        <v>12893195</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v>13691834</v>
      </c>
      <c r="J13" s="67">
        <v>12893195</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1135002</v>
      </c>
      <c r="J18" s="66">
        <f>SUM(J19:J27)</f>
        <v>973088</v>
      </c>
    </row>
    <row r="19" spans="1:10" ht="13.5" customHeight="1">
      <c r="A19" s="387" t="s">
        <v>733</v>
      </c>
      <c r="B19" s="387"/>
      <c r="C19" s="387"/>
      <c r="D19" s="387"/>
      <c r="E19" s="387"/>
      <c r="F19" s="387"/>
      <c r="G19" s="15">
        <v>11</v>
      </c>
      <c r="H19" s="16"/>
      <c r="I19" s="67"/>
      <c r="J19" s="67"/>
    </row>
    <row r="20" spans="1:10" ht="13.5" customHeight="1">
      <c r="A20" s="387" t="s">
        <v>796</v>
      </c>
      <c r="B20" s="387"/>
      <c r="C20" s="387"/>
      <c r="D20" s="387"/>
      <c r="E20" s="387"/>
      <c r="F20" s="387"/>
      <c r="G20" s="15">
        <v>12</v>
      </c>
      <c r="H20" s="16"/>
      <c r="I20" s="67"/>
      <c r="J20" s="67"/>
    </row>
    <row r="21" spans="1:10" ht="13.5" customHeight="1">
      <c r="A21" s="387" t="s">
        <v>734</v>
      </c>
      <c r="B21" s="387"/>
      <c r="C21" s="387"/>
      <c r="D21" s="387"/>
      <c r="E21" s="387"/>
      <c r="F21" s="387"/>
      <c r="G21" s="15">
        <v>13</v>
      </c>
      <c r="H21" s="16"/>
      <c r="I21" s="67">
        <v>997944</v>
      </c>
      <c r="J21" s="67">
        <v>967928</v>
      </c>
    </row>
    <row r="22" spans="1:10" ht="13.5" customHeight="1">
      <c r="A22" s="387" t="s">
        <v>405</v>
      </c>
      <c r="B22" s="387"/>
      <c r="C22" s="387"/>
      <c r="D22" s="387"/>
      <c r="E22" s="387"/>
      <c r="F22" s="387"/>
      <c r="G22" s="15">
        <v>14</v>
      </c>
      <c r="H22" s="16"/>
      <c r="I22" s="67">
        <v>137058</v>
      </c>
      <c r="J22" s="67"/>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c r="J25" s="67">
        <v>5160</v>
      </c>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13677788</v>
      </c>
      <c r="J45" s="66">
        <f>J46+J54+J61+J71</f>
        <v>14324612</v>
      </c>
    </row>
    <row r="46" spans="1:10" ht="13.5" customHeight="1">
      <c r="A46" s="390" t="s">
        <v>1264</v>
      </c>
      <c r="B46" s="390"/>
      <c r="C46" s="390"/>
      <c r="D46" s="390"/>
      <c r="E46" s="390"/>
      <c r="F46" s="390"/>
      <c r="G46" s="15">
        <v>38</v>
      </c>
      <c r="H46" s="16"/>
      <c r="I46" s="66">
        <f>SUM(I47:I53)</f>
        <v>0</v>
      </c>
      <c r="J46" s="66">
        <f>SUM(J47:J53)</f>
        <v>0</v>
      </c>
    </row>
    <row r="47" spans="1:10" ht="13.5" customHeight="1">
      <c r="A47" s="387" t="s">
        <v>1892</v>
      </c>
      <c r="B47" s="387"/>
      <c r="C47" s="387"/>
      <c r="D47" s="387"/>
      <c r="E47" s="387"/>
      <c r="F47" s="387"/>
      <c r="G47" s="15">
        <v>39</v>
      </c>
      <c r="H47" s="16"/>
      <c r="I47" s="67"/>
      <c r="J47" s="67"/>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602204</v>
      </c>
      <c r="J54" s="66">
        <f>SUM(J55:J60)</f>
        <v>744730</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445832</v>
      </c>
      <c r="J57" s="67">
        <v>710323</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v>155261</v>
      </c>
      <c r="J59" s="67">
        <v>6462</v>
      </c>
    </row>
    <row r="60" spans="1:10" ht="13.5" customHeight="1">
      <c r="A60" s="387" t="s">
        <v>1255</v>
      </c>
      <c r="B60" s="387"/>
      <c r="C60" s="387"/>
      <c r="D60" s="387"/>
      <c r="E60" s="387"/>
      <c r="F60" s="387"/>
      <c r="G60" s="15">
        <v>52</v>
      </c>
      <c r="H60" s="16"/>
      <c r="I60" s="67">
        <v>1111</v>
      </c>
      <c r="J60" s="67">
        <v>27945</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13075584</v>
      </c>
      <c r="J71" s="67">
        <v>13579882</v>
      </c>
    </row>
    <row r="72" spans="1:10" ht="24.75" customHeight="1">
      <c r="A72" s="385" t="s">
        <v>591</v>
      </c>
      <c r="B72" s="385"/>
      <c r="C72" s="385"/>
      <c r="D72" s="385"/>
      <c r="E72" s="385"/>
      <c r="F72" s="385"/>
      <c r="G72" s="15">
        <v>64</v>
      </c>
      <c r="H72" s="16"/>
      <c r="I72" s="67"/>
      <c r="J72" s="67"/>
    </row>
    <row r="73" spans="1:10" ht="13.5" customHeight="1">
      <c r="A73" s="385" t="s">
        <v>1267</v>
      </c>
      <c r="B73" s="385"/>
      <c r="C73" s="385"/>
      <c r="D73" s="385"/>
      <c r="E73" s="385"/>
      <c r="F73" s="385"/>
      <c r="G73" s="15">
        <v>65</v>
      </c>
      <c r="H73" s="16"/>
      <c r="I73" s="66">
        <f>I9+I10+I45+I72</f>
        <v>28504624</v>
      </c>
      <c r="J73" s="66">
        <f>J9+J10+J45+J72</f>
        <v>28190895</v>
      </c>
    </row>
    <row r="74" spans="1:10" ht="13.5" customHeight="1">
      <c r="A74" s="386" t="s">
        <v>1004</v>
      </c>
      <c r="B74" s="386"/>
      <c r="C74" s="386"/>
      <c r="D74" s="386"/>
      <c r="E74" s="386"/>
      <c r="F74" s="386"/>
      <c r="G74" s="17">
        <v>66</v>
      </c>
      <c r="H74" s="18"/>
      <c r="I74" s="68"/>
      <c r="J74" s="68">
        <v>13280990</v>
      </c>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6992363</v>
      </c>
      <c r="J76" s="66">
        <f>J77+J78+J79+J85+J86+J92+J95+J98</f>
        <v>8027304</v>
      </c>
      <c r="L76" s="2" t="s">
        <v>1209</v>
      </c>
    </row>
    <row r="77" spans="1:10" ht="13.5" customHeight="1">
      <c r="A77" s="390" t="s">
        <v>1857</v>
      </c>
      <c r="B77" s="390"/>
      <c r="C77" s="390"/>
      <c r="D77" s="390"/>
      <c r="E77" s="390"/>
      <c r="F77" s="390"/>
      <c r="G77" s="15">
        <v>68</v>
      </c>
      <c r="H77" s="16"/>
      <c r="I77" s="67">
        <v>9420000</v>
      </c>
      <c r="J77" s="67">
        <v>9420000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-3777586</v>
      </c>
      <c r="J92" s="66">
        <f>J93-J94</f>
        <v>-2427637</v>
      </c>
      <c r="L92" s="2" t="s">
        <v>1209</v>
      </c>
    </row>
    <row r="93" spans="1:10" ht="13.5" customHeight="1">
      <c r="A93" s="387" t="s">
        <v>2830</v>
      </c>
      <c r="B93" s="387"/>
      <c r="C93" s="387"/>
      <c r="D93" s="387"/>
      <c r="E93" s="387"/>
      <c r="F93" s="387"/>
      <c r="G93" s="15">
        <v>84</v>
      </c>
      <c r="H93" s="16"/>
      <c r="I93" s="67"/>
      <c r="J93" s="67"/>
    </row>
    <row r="94" spans="1:10" ht="13.5" customHeight="1">
      <c r="A94" s="387" t="s">
        <v>2831</v>
      </c>
      <c r="B94" s="387"/>
      <c r="C94" s="387"/>
      <c r="D94" s="387"/>
      <c r="E94" s="387"/>
      <c r="F94" s="387"/>
      <c r="G94" s="15">
        <v>85</v>
      </c>
      <c r="H94" s="16"/>
      <c r="I94" s="67">
        <v>3777586</v>
      </c>
      <c r="J94" s="67">
        <f>+I94-I96</f>
        <v>2427637</v>
      </c>
    </row>
    <row r="95" spans="1:12" ht="13.5" customHeight="1">
      <c r="A95" s="390" t="s">
        <v>2487</v>
      </c>
      <c r="B95" s="390"/>
      <c r="C95" s="390"/>
      <c r="D95" s="390"/>
      <c r="E95" s="390"/>
      <c r="F95" s="390"/>
      <c r="G95" s="15">
        <v>86</v>
      </c>
      <c r="H95" s="16"/>
      <c r="I95" s="66">
        <f>I96-I97</f>
        <v>1349949</v>
      </c>
      <c r="J95" s="66">
        <f>J96-J97</f>
        <v>1034941</v>
      </c>
      <c r="L95" s="2" t="s">
        <v>1209</v>
      </c>
    </row>
    <row r="96" spans="1:10" ht="13.5" customHeight="1">
      <c r="A96" s="387" t="s">
        <v>1257</v>
      </c>
      <c r="B96" s="387"/>
      <c r="C96" s="387"/>
      <c r="D96" s="387"/>
      <c r="E96" s="387"/>
      <c r="F96" s="387"/>
      <c r="G96" s="15">
        <v>87</v>
      </c>
      <c r="H96" s="16"/>
      <c r="I96" s="67">
        <v>1349949</v>
      </c>
      <c r="J96" s="67">
        <v>1034941</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7035260</v>
      </c>
      <c r="J106" s="66">
        <f>SUM(J107:J117)</f>
        <v>650000</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v>953890</v>
      </c>
      <c r="J111" s="67">
        <v>650000</v>
      </c>
    </row>
    <row r="112" spans="1:10" ht="13.5" customHeight="1">
      <c r="A112" s="387" t="s">
        <v>2021</v>
      </c>
      <c r="B112" s="387"/>
      <c r="C112" s="387"/>
      <c r="D112" s="387"/>
      <c r="E112" s="387"/>
      <c r="F112" s="387"/>
      <c r="G112" s="15">
        <v>103</v>
      </c>
      <c r="H112" s="16"/>
      <c r="I112" s="67"/>
      <c r="J112" s="67"/>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v>6081370</v>
      </c>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942469</v>
      </c>
      <c r="J118" s="66">
        <f>SUM(J119:J132)</f>
        <v>6793524</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v>245714</v>
      </c>
    </row>
    <row r="124" spans="1:10" ht="13.5" customHeight="1">
      <c r="A124" s="387" t="s">
        <v>2021</v>
      </c>
      <c r="B124" s="387"/>
      <c r="C124" s="387"/>
      <c r="D124" s="387"/>
      <c r="E124" s="387"/>
      <c r="F124" s="387"/>
      <c r="G124" s="15">
        <v>115</v>
      </c>
      <c r="H124" s="16"/>
      <c r="I124" s="67"/>
      <c r="J124" s="67"/>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290702</v>
      </c>
      <c r="J126" s="67">
        <v>68123</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358023</v>
      </c>
      <c r="J128" s="67">
        <v>194994</v>
      </c>
    </row>
    <row r="129" spans="1:10" ht="13.5" customHeight="1">
      <c r="A129" s="387" t="s">
        <v>2023</v>
      </c>
      <c r="B129" s="387"/>
      <c r="C129" s="387"/>
      <c r="D129" s="387"/>
      <c r="E129" s="387"/>
      <c r="F129" s="387"/>
      <c r="G129" s="15">
        <v>120</v>
      </c>
      <c r="H129" s="16"/>
      <c r="I129" s="67">
        <v>293744</v>
      </c>
      <c r="J129" s="67">
        <v>6284693</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c r="J132" s="67"/>
    </row>
    <row r="133" spans="1:10" ht="24.75" customHeight="1">
      <c r="A133" s="385" t="s">
        <v>593</v>
      </c>
      <c r="B133" s="385"/>
      <c r="C133" s="385"/>
      <c r="D133" s="385"/>
      <c r="E133" s="385"/>
      <c r="F133" s="385"/>
      <c r="G133" s="15">
        <v>124</v>
      </c>
      <c r="H133" s="16"/>
      <c r="I133" s="67">
        <v>13534532</v>
      </c>
      <c r="J133" s="67">
        <v>12720067</v>
      </c>
    </row>
    <row r="134" spans="1:10" ht="13.5" customHeight="1">
      <c r="A134" s="385" t="s">
        <v>360</v>
      </c>
      <c r="B134" s="385"/>
      <c r="C134" s="385"/>
      <c r="D134" s="385"/>
      <c r="E134" s="385"/>
      <c r="F134" s="385"/>
      <c r="G134" s="15">
        <v>125</v>
      </c>
      <c r="H134" s="16"/>
      <c r="I134" s="66">
        <f>I76+I99+I106+I118+I133</f>
        <v>28504624</v>
      </c>
      <c r="J134" s="66">
        <f>J76+J99+J106+J118+J133</f>
        <v>28190895</v>
      </c>
    </row>
    <row r="135" spans="1:10" ht="13.5" customHeight="1">
      <c r="A135" s="386" t="s">
        <v>1512</v>
      </c>
      <c r="B135" s="386"/>
      <c r="C135" s="386"/>
      <c r="D135" s="386"/>
      <c r="E135" s="386"/>
      <c r="F135" s="386"/>
      <c r="G135" s="17">
        <v>126</v>
      </c>
      <c r="H135" s="18"/>
      <c r="I135" s="68"/>
      <c r="J135" s="68">
        <v>13280990</v>
      </c>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3:J94 I99:J135">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J10" sqref="J10"/>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18"/>
      <c r="C2" s="418"/>
      <c r="D2" s="418"/>
      <c r="E2" s="418"/>
      <c r="F2" s="418"/>
      <c r="G2" s="418"/>
      <c r="H2" s="418"/>
      <c r="I2" s="419"/>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0"/>
      <c r="C3" s="420"/>
      <c r="D3" s="420"/>
      <c r="E3" s="420"/>
      <c r="F3" s="420"/>
      <c r="G3" s="420"/>
      <c r="H3" s="420"/>
      <c r="I3" s="421"/>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89801268320; SPLITSKA OBALA D.O.O.</v>
      </c>
      <c r="B5" s="416"/>
      <c r="C5" s="416"/>
      <c r="D5" s="416"/>
      <c r="E5" s="416"/>
      <c r="F5" s="416"/>
      <c r="G5" s="416"/>
      <c r="H5" s="416"/>
      <c r="I5" s="416"/>
      <c r="J5" s="417"/>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12503579</v>
      </c>
      <c r="J8" s="80">
        <f>SUM(J9:J13)</f>
        <v>10106997</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11670964</v>
      </c>
      <c r="J10" s="67">
        <v>9253663</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832615</v>
      </c>
      <c r="J13" s="67">
        <v>853334</v>
      </c>
    </row>
    <row r="14" spans="1:10" s="2" customFormat="1" ht="14.25" customHeight="1">
      <c r="A14" s="385" t="s">
        <v>2492</v>
      </c>
      <c r="B14" s="385"/>
      <c r="C14" s="385"/>
      <c r="D14" s="385"/>
      <c r="E14" s="385"/>
      <c r="F14" s="385"/>
      <c r="G14" s="15">
        <v>133</v>
      </c>
      <c r="H14" s="16"/>
      <c r="I14" s="66">
        <f>I15+I16+I20+I24+I25+I26+I29+I36</f>
        <v>11156010</v>
      </c>
      <c r="J14" s="66">
        <f>J15+J16+J20+J24+J25+J26+J29+J36</f>
        <v>9071853</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2480837</v>
      </c>
      <c r="J16" s="66">
        <f>SUM(J17:J19)</f>
        <v>2183719</v>
      </c>
    </row>
    <row r="17" spans="1:10" s="2" customFormat="1" ht="14.25" customHeight="1">
      <c r="A17" s="413" t="s">
        <v>1273</v>
      </c>
      <c r="B17" s="413"/>
      <c r="C17" s="413"/>
      <c r="D17" s="413"/>
      <c r="E17" s="413"/>
      <c r="F17" s="413"/>
      <c r="G17" s="15">
        <v>136</v>
      </c>
      <c r="H17" s="16"/>
      <c r="I17" s="67">
        <v>1184937</v>
      </c>
      <c r="J17" s="67">
        <v>977586</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v>1295900</v>
      </c>
      <c r="J19" s="67">
        <v>1206133</v>
      </c>
    </row>
    <row r="20" spans="1:10" s="2" customFormat="1" ht="14.25" customHeight="1">
      <c r="A20" s="387" t="s">
        <v>2494</v>
      </c>
      <c r="B20" s="387"/>
      <c r="C20" s="387"/>
      <c r="D20" s="387"/>
      <c r="E20" s="387"/>
      <c r="F20" s="387"/>
      <c r="G20" s="15">
        <v>139</v>
      </c>
      <c r="H20" s="16"/>
      <c r="I20" s="66">
        <f>SUM(I21:I23)</f>
        <v>4907233</v>
      </c>
      <c r="J20" s="66">
        <f>SUM(J21:J23)</f>
        <v>3961915</v>
      </c>
    </row>
    <row r="21" spans="1:10" s="2" customFormat="1" ht="14.25" customHeight="1">
      <c r="A21" s="413" t="s">
        <v>960</v>
      </c>
      <c r="B21" s="413"/>
      <c r="C21" s="413"/>
      <c r="D21" s="413"/>
      <c r="E21" s="413"/>
      <c r="F21" s="413"/>
      <c r="G21" s="15">
        <v>140</v>
      </c>
      <c r="H21" s="16"/>
      <c r="I21" s="67">
        <v>3024081</v>
      </c>
      <c r="J21" s="67">
        <v>2494290</v>
      </c>
    </row>
    <row r="22" spans="1:10" s="2" customFormat="1" ht="14.25" customHeight="1">
      <c r="A22" s="413" t="s">
        <v>1883</v>
      </c>
      <c r="B22" s="413"/>
      <c r="C22" s="413"/>
      <c r="D22" s="413"/>
      <c r="E22" s="413"/>
      <c r="F22" s="413"/>
      <c r="G22" s="15">
        <v>141</v>
      </c>
      <c r="H22" s="16"/>
      <c r="I22" s="67">
        <v>1189275</v>
      </c>
      <c r="J22" s="67">
        <v>906496</v>
      </c>
    </row>
    <row r="23" spans="1:10" s="2" customFormat="1" ht="14.25" customHeight="1">
      <c r="A23" s="413" t="s">
        <v>1884</v>
      </c>
      <c r="B23" s="413"/>
      <c r="C23" s="413"/>
      <c r="D23" s="413"/>
      <c r="E23" s="413"/>
      <c r="F23" s="413"/>
      <c r="G23" s="15">
        <v>142</v>
      </c>
      <c r="H23" s="16"/>
      <c r="I23" s="67">
        <v>693877</v>
      </c>
      <c r="J23" s="67">
        <v>561129</v>
      </c>
    </row>
    <row r="24" spans="1:10" s="2" customFormat="1" ht="14.25" customHeight="1">
      <c r="A24" s="387" t="s">
        <v>1006</v>
      </c>
      <c r="B24" s="387"/>
      <c r="C24" s="387"/>
      <c r="D24" s="387"/>
      <c r="E24" s="387"/>
      <c r="F24" s="387"/>
      <c r="G24" s="15">
        <v>143</v>
      </c>
      <c r="H24" s="16"/>
      <c r="I24" s="67">
        <v>1074369</v>
      </c>
      <c r="J24" s="67">
        <v>1065174</v>
      </c>
    </row>
    <row r="25" spans="1:10" s="2" customFormat="1" ht="14.25" customHeight="1">
      <c r="A25" s="387" t="s">
        <v>1007</v>
      </c>
      <c r="B25" s="387"/>
      <c r="C25" s="387"/>
      <c r="D25" s="387"/>
      <c r="E25" s="387"/>
      <c r="F25" s="387"/>
      <c r="G25" s="15">
        <v>144</v>
      </c>
      <c r="H25" s="16"/>
      <c r="I25" s="67">
        <v>2619180</v>
      </c>
      <c r="J25" s="67">
        <v>1846383</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c r="J28" s="67"/>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v>74391</v>
      </c>
      <c r="J36" s="67">
        <v>14662</v>
      </c>
    </row>
    <row r="37" spans="1:10" s="2" customFormat="1" ht="14.25" customHeight="1">
      <c r="A37" s="385" t="s">
        <v>2497</v>
      </c>
      <c r="B37" s="385"/>
      <c r="C37" s="385"/>
      <c r="D37" s="385"/>
      <c r="E37" s="385"/>
      <c r="F37" s="385"/>
      <c r="G37" s="15">
        <v>156</v>
      </c>
      <c r="H37" s="16"/>
      <c r="I37" s="66">
        <f>SUM(I38:I47)</f>
        <v>2512</v>
      </c>
      <c r="J37" s="66">
        <f>SUM(J38:J47)</f>
        <v>66</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2512</v>
      </c>
      <c r="J44" s="67">
        <v>66</v>
      </c>
    </row>
    <row r="45" spans="1:10" s="2" customFormat="1" ht="14.25" customHeight="1">
      <c r="A45" s="387" t="s">
        <v>2961</v>
      </c>
      <c r="B45" s="387"/>
      <c r="C45" s="387"/>
      <c r="D45" s="387"/>
      <c r="E45" s="387"/>
      <c r="F45" s="387"/>
      <c r="G45" s="15">
        <v>164</v>
      </c>
      <c r="H45" s="16"/>
      <c r="I45" s="67"/>
      <c r="J45" s="67"/>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132</v>
      </c>
      <c r="J48" s="66">
        <f>SUM(J49:J55)</f>
        <v>269</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132</v>
      </c>
      <c r="J51" s="67">
        <v>69</v>
      </c>
    </row>
    <row r="52" spans="1:10" s="2" customFormat="1" ht="14.25" customHeight="1">
      <c r="A52" s="408" t="s">
        <v>1090</v>
      </c>
      <c r="B52" s="408"/>
      <c r="C52" s="408"/>
      <c r="D52" s="408"/>
      <c r="E52" s="408"/>
      <c r="F52" s="408"/>
      <c r="G52" s="15">
        <v>171</v>
      </c>
      <c r="H52" s="16"/>
      <c r="I52" s="67"/>
      <c r="J52" s="67"/>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v>200</v>
      </c>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12506091</v>
      </c>
      <c r="J60" s="66">
        <f>J8+J37+J56+J57</f>
        <v>10107063</v>
      </c>
    </row>
    <row r="61" spans="1:10" s="2" customFormat="1" ht="14.25" customHeight="1">
      <c r="A61" s="385" t="s">
        <v>2500</v>
      </c>
      <c r="B61" s="385"/>
      <c r="C61" s="385"/>
      <c r="D61" s="385"/>
      <c r="E61" s="385"/>
      <c r="F61" s="385"/>
      <c r="G61" s="15">
        <v>180</v>
      </c>
      <c r="H61" s="16"/>
      <c r="I61" s="66">
        <f>I14+I48+I58+I59</f>
        <v>11156142</v>
      </c>
      <c r="J61" s="66">
        <f>J14+J48+J58+J59</f>
        <v>9072122</v>
      </c>
    </row>
    <row r="62" spans="1:12" s="2" customFormat="1" ht="14.25" customHeight="1">
      <c r="A62" s="385" t="s">
        <v>2501</v>
      </c>
      <c r="B62" s="385"/>
      <c r="C62" s="385"/>
      <c r="D62" s="385"/>
      <c r="E62" s="385"/>
      <c r="F62" s="385"/>
      <c r="G62" s="15">
        <v>181</v>
      </c>
      <c r="H62" s="16"/>
      <c r="I62" s="66">
        <f>I60-I61</f>
        <v>1349949</v>
      </c>
      <c r="J62" s="66">
        <f>J60-J61</f>
        <v>1034941</v>
      </c>
      <c r="L62" s="2" t="s">
        <v>1209</v>
      </c>
    </row>
    <row r="63" spans="1:10" s="2" customFormat="1" ht="14.25" customHeight="1">
      <c r="A63" s="408" t="s">
        <v>2502</v>
      </c>
      <c r="B63" s="408"/>
      <c r="C63" s="408"/>
      <c r="D63" s="408"/>
      <c r="E63" s="408"/>
      <c r="F63" s="408"/>
      <c r="G63" s="15">
        <v>182</v>
      </c>
      <c r="H63" s="16"/>
      <c r="I63" s="66">
        <f>IF(I60&gt;I61,I60-I61,0)</f>
        <v>1349949</v>
      </c>
      <c r="J63" s="66">
        <f>IF(J60&gt;J61,J60-J61,0)</f>
        <v>1034941</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c r="J65" s="67"/>
      <c r="L65" s="2" t="s">
        <v>1209</v>
      </c>
    </row>
    <row r="66" spans="1:12" s="2" customFormat="1" ht="14.25" customHeight="1">
      <c r="A66" s="385" t="s">
        <v>2504</v>
      </c>
      <c r="B66" s="385"/>
      <c r="C66" s="385"/>
      <c r="D66" s="385"/>
      <c r="E66" s="385"/>
      <c r="F66" s="385"/>
      <c r="G66" s="15">
        <v>185</v>
      </c>
      <c r="H66" s="16"/>
      <c r="I66" s="66">
        <f>I62-I65</f>
        <v>1349949</v>
      </c>
      <c r="J66" s="66">
        <f>J62-J65</f>
        <v>1034941</v>
      </c>
      <c r="L66" s="2" t="s">
        <v>1209</v>
      </c>
    </row>
    <row r="67" spans="1:10" s="2" customFormat="1" ht="14.25" customHeight="1">
      <c r="A67" s="408" t="s">
        <v>2505</v>
      </c>
      <c r="B67" s="408"/>
      <c r="C67" s="408"/>
      <c r="D67" s="408"/>
      <c r="E67" s="408"/>
      <c r="F67" s="408"/>
      <c r="G67" s="15">
        <v>186</v>
      </c>
      <c r="H67" s="16"/>
      <c r="I67" s="66">
        <f>IF(I66&gt;0,I66,0)</f>
        <v>1349949</v>
      </c>
      <c r="J67" s="66">
        <f>IF(J66&gt;0,J66,0)</f>
        <v>1034941</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2" t="s">
        <v>2710</v>
      </c>
      <c r="B87" s="422"/>
      <c r="C87" s="422"/>
      <c r="D87" s="422"/>
      <c r="E87" s="422"/>
      <c r="F87" s="422"/>
      <c r="G87" s="17">
        <v>203</v>
      </c>
      <c r="H87" s="18"/>
      <c r="I87" s="74"/>
      <c r="J87" s="74"/>
      <c r="L87" s="2" t="s">
        <v>1209</v>
      </c>
    </row>
    <row r="88" spans="1:10" s="2" customFormat="1" ht="14.25" customHeight="1">
      <c r="A88" s="423" t="s">
        <v>1506</v>
      </c>
      <c r="B88" s="423"/>
      <c r="C88" s="423"/>
      <c r="D88" s="423"/>
      <c r="E88" s="423"/>
      <c r="F88" s="423"/>
      <c r="G88" s="424"/>
      <c r="H88" s="424"/>
      <c r="I88" s="424"/>
      <c r="J88" s="424"/>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2" t="s">
        <v>1099</v>
      </c>
      <c r="B113" s="422"/>
      <c r="C113" s="422"/>
      <c r="D113" s="422"/>
      <c r="E113" s="422"/>
      <c r="F113" s="422"/>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88:J88"/>
    <mergeCell ref="A71:F71"/>
    <mergeCell ref="A55:F55"/>
    <mergeCell ref="A48:F48"/>
    <mergeCell ref="A46:F46"/>
    <mergeCell ref="A47:F47"/>
    <mergeCell ref="A49:F49"/>
    <mergeCell ref="A38:F38"/>
    <mergeCell ref="A35:F35"/>
    <mergeCell ref="A45:F45"/>
    <mergeCell ref="A43:F43"/>
    <mergeCell ref="A44:F44"/>
    <mergeCell ref="A37:F37"/>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18:F18"/>
    <mergeCell ref="A19:F19"/>
    <mergeCell ref="A26:F26"/>
    <mergeCell ref="A27:F27"/>
    <mergeCell ref="A29:F29"/>
    <mergeCell ref="A36:F36"/>
    <mergeCell ref="A34:F34"/>
    <mergeCell ref="A25:F2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2" activePane="bottomLeft" state="frozen"/>
      <selection pane="topLeft" activeCell="A1" sqref="A1"/>
      <selection pane="bottomLeft" activeCell="J38" sqref="J38"/>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6" t="s">
        <v>821</v>
      </c>
      <c r="B2" s="437"/>
      <c r="C2" s="437"/>
      <c r="D2" s="437"/>
      <c r="E2" s="437"/>
      <c r="F2" s="437"/>
      <c r="G2" s="437"/>
      <c r="H2" s="437"/>
      <c r="I2" s="438"/>
      <c r="J2" s="392" t="s">
        <v>1211</v>
      </c>
      <c r="Q2" s="70">
        <f>IF(MAX(I9:I88)&gt;0,1,0)</f>
        <v>1</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1</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89801268320; SPLITSKA OBALA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v>11670964</v>
      </c>
      <c r="J26" s="73">
        <v>9253663</v>
      </c>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v>11670964</v>
      </c>
      <c r="J37" s="90">
        <v>9253663</v>
      </c>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v>292521</v>
      </c>
      <c r="J50" s="73">
        <v>225018</v>
      </c>
    </row>
    <row r="51" spans="1:10" s="2" customFormat="1" ht="24.75" customHeight="1">
      <c r="A51" s="408" t="s">
        <v>2106</v>
      </c>
      <c r="B51" s="408"/>
      <c r="C51" s="408"/>
      <c r="D51" s="408"/>
      <c r="E51" s="408"/>
      <c r="F51" s="408"/>
      <c r="G51" s="447"/>
      <c r="H51" s="15">
        <v>263</v>
      </c>
      <c r="I51" s="73">
        <v>216486</v>
      </c>
      <c r="J51" s="73">
        <v>237114</v>
      </c>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v>2512</v>
      </c>
      <c r="J73" s="90">
        <v>65</v>
      </c>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89801268320; SPLITSKA OBALA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89801268320; SPLITSKA OBALA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89801268320; SPLITSKA OBALA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Ivana</cp:lastModifiedBy>
  <cp:lastPrinted>2021-09-27T13:29:50Z</cp:lastPrinted>
  <dcterms:created xsi:type="dcterms:W3CDTF">2008-10-17T11:51:54Z</dcterms:created>
  <dcterms:modified xsi:type="dcterms:W3CDTF">2023-04-21T09:21:51Z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